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9720" windowHeight="5985" tabRatio="729" firstSheet="2" activeTab="2"/>
  </bookViews>
  <sheets>
    <sheet name="Presupuestos" sheetId="23" r:id="rId1"/>
    <sheet name="Plan de Inversión" sheetId="26" r:id="rId2"/>
    <sheet name="VAN y TIR" sheetId="29" r:id="rId3"/>
  </sheets>
  <calcPr calcId="125725"/>
</workbook>
</file>

<file path=xl/calcChain.xml><?xml version="1.0" encoding="utf-8"?>
<calcChain xmlns="http://schemas.openxmlformats.org/spreadsheetml/2006/main">
  <c r="C7" i="29"/>
  <c r="C16"/>
  <c r="C19" s="1"/>
  <c r="D10" i="23"/>
  <c r="E10" s="1"/>
  <c r="F10" s="1"/>
  <c r="D4"/>
  <c r="E4" s="1"/>
  <c r="C11" s="1"/>
  <c r="F67"/>
  <c r="F66"/>
  <c r="H141"/>
  <c r="I141" s="1"/>
  <c r="J141" s="1"/>
  <c r="K141" s="1"/>
  <c r="L141" s="1"/>
  <c r="F128"/>
  <c r="F127"/>
  <c r="F96"/>
  <c r="F97"/>
  <c r="D38"/>
  <c r="D57"/>
  <c r="E57" s="1"/>
  <c r="F57" s="1"/>
  <c r="G57" s="1"/>
  <c r="D56"/>
  <c r="E56" s="1"/>
  <c r="F56" s="1"/>
  <c r="G56" s="1"/>
  <c r="D54"/>
  <c r="E54" s="1"/>
  <c r="F54" s="1"/>
  <c r="G54" s="1"/>
  <c r="C53"/>
  <c r="D53" s="1"/>
  <c r="E53" s="1"/>
  <c r="F53" s="1"/>
  <c r="G53" s="1"/>
  <c r="D12"/>
  <c r="E12" s="1"/>
  <c r="F12" s="1"/>
  <c r="G12" s="1"/>
  <c r="C7" i="26"/>
  <c r="C8"/>
  <c r="E166" i="23"/>
  <c r="F169" s="1"/>
  <c r="F58" s="1"/>
  <c r="H142"/>
  <c r="I142" s="1"/>
  <c r="J142" s="1"/>
  <c r="K142" s="1"/>
  <c r="L142" s="1"/>
  <c r="H143"/>
  <c r="I143" s="1"/>
  <c r="J143" s="1"/>
  <c r="K143" s="1"/>
  <c r="L143" s="1"/>
  <c r="H144"/>
  <c r="I144" s="1"/>
  <c r="J144" s="1"/>
  <c r="K144" s="1"/>
  <c r="L144" s="1"/>
  <c r="H145"/>
  <c r="I145" s="1"/>
  <c r="J145" s="1"/>
  <c r="K145" s="1"/>
  <c r="L145" s="1"/>
  <c r="H146"/>
  <c r="I146" s="1"/>
  <c r="J146" s="1"/>
  <c r="K146" s="1"/>
  <c r="L146" s="1"/>
  <c r="H147"/>
  <c r="I147" s="1"/>
  <c r="J147" s="1"/>
  <c r="K147" s="1"/>
  <c r="L147" s="1"/>
  <c r="C14" i="26"/>
  <c r="C19"/>
  <c r="C20"/>
  <c r="E157" i="23"/>
  <c r="F158" s="1"/>
  <c r="D105" s="1"/>
  <c r="E176"/>
  <c r="F176" s="1"/>
  <c r="E181"/>
  <c r="F181" s="1"/>
  <c r="D103"/>
  <c r="E103" s="1"/>
  <c r="F103" s="1"/>
  <c r="G103" s="1"/>
  <c r="D104"/>
  <c r="E104" s="1"/>
  <c r="F104" s="1"/>
  <c r="G148"/>
  <c r="F147" s="1"/>
  <c r="C32" i="26"/>
  <c r="G10" i="23" l="1"/>
  <c r="C35"/>
  <c r="C45" s="1"/>
  <c r="D45" s="1"/>
  <c r="E45" s="1"/>
  <c r="F45" s="1"/>
  <c r="G45" s="1"/>
  <c r="D11"/>
  <c r="E11" s="1"/>
  <c r="F11" s="1"/>
  <c r="G11" s="1"/>
  <c r="G13" s="1"/>
  <c r="G134" s="1"/>
  <c r="C37"/>
  <c r="C47" s="1"/>
  <c r="D47" s="1"/>
  <c r="E47" s="1"/>
  <c r="F47" s="1"/>
  <c r="G47" s="1"/>
  <c r="C132"/>
  <c r="D132" s="1"/>
  <c r="E132" s="1"/>
  <c r="F132" s="1"/>
  <c r="G132" s="1"/>
  <c r="C13"/>
  <c r="C23" s="1"/>
  <c r="D25" s="1"/>
  <c r="C34"/>
  <c r="C44" s="1"/>
  <c r="D44" s="1"/>
  <c r="E44" s="1"/>
  <c r="F44" s="1"/>
  <c r="G44" s="1"/>
  <c r="C36"/>
  <c r="C46" s="1"/>
  <c r="D46" s="1"/>
  <c r="E46" s="1"/>
  <c r="F46" s="1"/>
  <c r="G46" s="1"/>
  <c r="C71"/>
  <c r="D71" s="1"/>
  <c r="E71" s="1"/>
  <c r="F71" s="1"/>
  <c r="G71" s="1"/>
  <c r="F184"/>
  <c r="F141"/>
  <c r="F144"/>
  <c r="C101"/>
  <c r="F166"/>
  <c r="G166" s="1"/>
  <c r="F170"/>
  <c r="G58" s="1"/>
  <c r="F157"/>
  <c r="E158" s="1"/>
  <c r="E159" s="1"/>
  <c r="F185"/>
  <c r="C6" i="26"/>
  <c r="D6" s="1"/>
  <c r="F182" i="23"/>
  <c r="G182" s="1"/>
  <c r="F168"/>
  <c r="E58" s="1"/>
  <c r="F179"/>
  <c r="F159"/>
  <c r="E105" s="1"/>
  <c r="F161"/>
  <c r="G105" s="1"/>
  <c r="F160"/>
  <c r="F105" s="1"/>
  <c r="F183"/>
  <c r="C18" i="26"/>
  <c r="H148" i="23"/>
  <c r="I148" s="1"/>
  <c r="J148" s="1"/>
  <c r="K148" s="1"/>
  <c r="L148" s="1"/>
  <c r="F167"/>
  <c r="D58" s="1"/>
  <c r="F178"/>
  <c r="F180"/>
  <c r="F177"/>
  <c r="G104"/>
  <c r="G181"/>
  <c r="E182"/>
  <c r="C106"/>
  <c r="E177"/>
  <c r="G176"/>
  <c r="C72" l="1"/>
  <c r="C73" s="1"/>
  <c r="E13"/>
  <c r="E134" s="1"/>
  <c r="D72"/>
  <c r="D73" s="1"/>
  <c r="C133"/>
  <c r="C134"/>
  <c r="F13"/>
  <c r="F134" s="1"/>
  <c r="D13"/>
  <c r="D134" s="1"/>
  <c r="C55"/>
  <c r="D55" s="1"/>
  <c r="E55" s="1"/>
  <c r="F55" s="1"/>
  <c r="G55" s="1"/>
  <c r="D48"/>
  <c r="C24"/>
  <c r="C22"/>
  <c r="C15" i="26" s="1"/>
  <c r="C48" i="23"/>
  <c r="C49" s="1"/>
  <c r="C27"/>
  <c r="C120"/>
  <c r="C38"/>
  <c r="F106"/>
  <c r="C102"/>
  <c r="D101"/>
  <c r="E101" s="1"/>
  <c r="F101" s="1"/>
  <c r="G101" s="1"/>
  <c r="C58"/>
  <c r="G106"/>
  <c r="E167"/>
  <c r="E168" s="1"/>
  <c r="E169" s="1"/>
  <c r="E170" s="1"/>
  <c r="D87"/>
  <c r="E183"/>
  <c r="E184" s="1"/>
  <c r="E185" s="1"/>
  <c r="D106"/>
  <c r="E18" i="26"/>
  <c r="E178" i="23"/>
  <c r="E179" s="1"/>
  <c r="E180" s="1"/>
  <c r="E106"/>
  <c r="G22"/>
  <c r="C105"/>
  <c r="G158"/>
  <c r="G159" s="1"/>
  <c r="G160" s="1"/>
  <c r="G161" s="1"/>
  <c r="G157"/>
  <c r="C119"/>
  <c r="F172"/>
  <c r="G177"/>
  <c r="G178" s="1"/>
  <c r="G179" s="1"/>
  <c r="G180" s="1"/>
  <c r="F148"/>
  <c r="D133"/>
  <c r="E48"/>
  <c r="G183"/>
  <c r="G184" s="1"/>
  <c r="G185" s="1"/>
  <c r="D119"/>
  <c r="E160"/>
  <c r="E161" s="1"/>
  <c r="D120"/>
  <c r="G120"/>
  <c r="E72"/>
  <c r="E73" s="1"/>
  <c r="D22" i="26"/>
  <c r="G167" i="23"/>
  <c r="G168" s="1"/>
  <c r="G169" s="1"/>
  <c r="G170" s="1"/>
  <c r="G23"/>
  <c r="G27" s="1"/>
  <c r="F48"/>
  <c r="E119"/>
  <c r="G48"/>
  <c r="E22" l="1"/>
  <c r="C135"/>
  <c r="C118" s="1"/>
  <c r="D22"/>
  <c r="D135"/>
  <c r="D118" s="1"/>
  <c r="D23"/>
  <c r="E25" s="1"/>
  <c r="C12" i="26"/>
  <c r="E23" i="23"/>
  <c r="E27" s="1"/>
  <c r="E120"/>
  <c r="F22"/>
  <c r="E59"/>
  <c r="E78" s="1"/>
  <c r="F23"/>
  <c r="F24" s="1"/>
  <c r="F120"/>
  <c r="C107"/>
  <c r="D59"/>
  <c r="D78" s="1"/>
  <c r="C59"/>
  <c r="C78" s="1"/>
  <c r="G49"/>
  <c r="F49"/>
  <c r="E49"/>
  <c r="D49"/>
  <c r="D86"/>
  <c r="D88" s="1"/>
  <c r="C26"/>
  <c r="C86"/>
  <c r="C87"/>
  <c r="C89" s="1"/>
  <c r="C13" i="26"/>
  <c r="E24" i="23"/>
  <c r="F25"/>
  <c r="D102"/>
  <c r="F102"/>
  <c r="E102"/>
  <c r="F86"/>
  <c r="F87"/>
  <c r="E87"/>
  <c r="E89" s="1"/>
  <c r="E86"/>
  <c r="G87"/>
  <c r="G86"/>
  <c r="C122"/>
  <c r="G24"/>
  <c r="D122"/>
  <c r="E133"/>
  <c r="E135" s="1"/>
  <c r="E118" s="1"/>
  <c r="E122" s="1"/>
  <c r="F72"/>
  <c r="F73" s="1"/>
  <c r="G72"/>
  <c r="G73" s="1"/>
  <c r="F59"/>
  <c r="F119"/>
  <c r="G119"/>
  <c r="D89"/>
  <c r="D91"/>
  <c r="F27" l="1"/>
  <c r="C11" i="26"/>
  <c r="G25" i="23"/>
  <c r="D27"/>
  <c r="D24"/>
  <c r="C88"/>
  <c r="C91"/>
  <c r="D90" s="1"/>
  <c r="E26"/>
  <c r="D107"/>
  <c r="E107"/>
  <c r="F107"/>
  <c r="G102"/>
  <c r="E91"/>
  <c r="F90" s="1"/>
  <c r="D26"/>
  <c r="E88"/>
  <c r="G26"/>
  <c r="F133"/>
  <c r="F135" s="1"/>
  <c r="F118" s="1"/>
  <c r="F122" s="1"/>
  <c r="F78"/>
  <c r="F26"/>
  <c r="E90"/>
  <c r="G88"/>
  <c r="G91"/>
  <c r="G89"/>
  <c r="F89"/>
  <c r="F91"/>
  <c r="F88"/>
  <c r="G59"/>
  <c r="G78" s="1"/>
  <c r="C16" i="26" l="1"/>
  <c r="C10" s="1"/>
  <c r="E10" s="1"/>
  <c r="G107" i="23"/>
  <c r="G133"/>
  <c r="G135" s="1"/>
  <c r="G118" s="1"/>
  <c r="G122" s="1"/>
  <c r="G90"/>
  <c r="C22" i="26" l="1"/>
  <c r="D23" s="1"/>
  <c r="E22"/>
  <c r="E23" l="1"/>
  <c r="F40"/>
  <c r="D42" l="1"/>
  <c r="D44"/>
  <c r="D41"/>
  <c r="D43"/>
  <c r="D45"/>
  <c r="C41"/>
  <c r="E41" l="1"/>
  <c r="F41" l="1"/>
  <c r="G12" i="29" l="1"/>
  <c r="D12"/>
  <c r="E12"/>
  <c r="F12"/>
  <c r="H12"/>
  <c r="C42" i="26"/>
  <c r="E42" l="1"/>
  <c r="F42" l="1"/>
  <c r="D13" i="29" l="1"/>
  <c r="C43" i="26"/>
  <c r="E43" l="1"/>
  <c r="F43" l="1"/>
  <c r="C44" l="1"/>
  <c r="E13" i="29" l="1"/>
  <c r="E44" i="26"/>
  <c r="F44" l="1"/>
  <c r="C45" l="1"/>
  <c r="F13" i="29"/>
  <c r="C46" i="26" l="1"/>
  <c r="E45"/>
  <c r="F45" l="1"/>
  <c r="G13" i="29" l="1"/>
  <c r="H13" l="1"/>
  <c r="C14" s="1"/>
  <c r="C15"/>
</calcChain>
</file>

<file path=xl/comments1.xml><?xml version="1.0" encoding="utf-8"?>
<comments xmlns="http://schemas.openxmlformats.org/spreadsheetml/2006/main">
  <authors>
    <author>pc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Por ejemplo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La inversión inicial (año 0) ya está en valor actual</t>
        </r>
      </text>
    </comment>
  </commentList>
</comments>
</file>

<file path=xl/sharedStrings.xml><?xml version="1.0" encoding="utf-8"?>
<sst xmlns="http://schemas.openxmlformats.org/spreadsheetml/2006/main" count="219" uniqueCount="172">
  <si>
    <t>Ventas</t>
  </si>
  <si>
    <t>AÑO</t>
  </si>
  <si>
    <t>Intereses</t>
  </si>
  <si>
    <t>i</t>
  </si>
  <si>
    <t>Año</t>
  </si>
  <si>
    <t>Factor de descuento</t>
  </si>
  <si>
    <t>TIR</t>
  </si>
  <si>
    <t>Presupuesto de Ventas</t>
  </si>
  <si>
    <t>Presupuesto de Cobros</t>
  </si>
  <si>
    <t>Total Ventas</t>
  </si>
  <si>
    <t>Cargas Sociales</t>
  </si>
  <si>
    <t>Presupuesto de Costos de Producción</t>
  </si>
  <si>
    <t>Presupuesto de Gastos de Administración</t>
  </si>
  <si>
    <t xml:space="preserve">Total </t>
  </si>
  <si>
    <t>Total</t>
  </si>
  <si>
    <t>Ventas al Contado</t>
  </si>
  <si>
    <t>Costo Total de Producción</t>
  </si>
  <si>
    <t>Compra Total</t>
  </si>
  <si>
    <t>Cuentas por pagar</t>
  </si>
  <si>
    <t>Teléfono</t>
  </si>
  <si>
    <t>Publicidad</t>
  </si>
  <si>
    <t>Gastos Generales</t>
  </si>
  <si>
    <t>Seguros</t>
  </si>
  <si>
    <t>Plan de Inversión</t>
  </si>
  <si>
    <t>Activos Fijos</t>
  </si>
  <si>
    <t>Capital de Trabajo</t>
  </si>
  <si>
    <t>Costo de Producción</t>
  </si>
  <si>
    <t>Gastos de Administración</t>
  </si>
  <si>
    <t>Activos Nominales</t>
  </si>
  <si>
    <t>Constitución</t>
  </si>
  <si>
    <t>Honorarios</t>
  </si>
  <si>
    <t>Monto</t>
  </si>
  <si>
    <t>Fondos Propios</t>
  </si>
  <si>
    <t>Financiamiento</t>
  </si>
  <si>
    <t>Cálculo Días Capital de Trabajo</t>
  </si>
  <si>
    <t>Tiempo producción diaria</t>
  </si>
  <si>
    <t>Tiempo de Cobro</t>
  </si>
  <si>
    <t>Tiempo de Venta</t>
  </si>
  <si>
    <t>Días de Seguridad</t>
  </si>
  <si>
    <t>Tasa de Interés</t>
  </si>
  <si>
    <t>Años</t>
  </si>
  <si>
    <t>Cuota Anual</t>
  </si>
  <si>
    <t>Saldo</t>
  </si>
  <si>
    <t>Total Intereses</t>
  </si>
  <si>
    <t>Cuentas por Cobrar</t>
  </si>
  <si>
    <t>Valor Residual</t>
  </si>
  <si>
    <t>Valor de Origen</t>
  </si>
  <si>
    <t>Depreciación Anual</t>
  </si>
  <si>
    <t>Depreciación Acumulada</t>
  </si>
  <si>
    <t>Valor a Depreciar</t>
  </si>
  <si>
    <t>Recuperación Cuentas por Cobrar del año</t>
  </si>
  <si>
    <t>Recuperación Cuentas por Cobrar año anterior</t>
  </si>
  <si>
    <t xml:space="preserve">  Los importes establecidos incluyen SAC y Plus vacacional</t>
  </si>
  <si>
    <t>Total Cobranzas</t>
  </si>
  <si>
    <t>Compras de contado</t>
  </si>
  <si>
    <t xml:space="preserve">Proveedores </t>
  </si>
  <si>
    <t xml:space="preserve">Pago a Proveedores </t>
  </si>
  <si>
    <t>Pago a Proveedores (Año anterior)</t>
  </si>
  <si>
    <t>Presupuesto Pago de Compras</t>
  </si>
  <si>
    <t>Presupuesto de Gastos Financieros</t>
  </si>
  <si>
    <t>Presupuesto Depreciaciones</t>
  </si>
  <si>
    <t>Vida Útil</t>
  </si>
  <si>
    <t>Dividendos</t>
  </si>
  <si>
    <t>Mobiliario Oficina</t>
  </si>
  <si>
    <t>Precio Total Anual</t>
  </si>
  <si>
    <t>Mantenimiento del Sistema Operativo</t>
  </si>
  <si>
    <t>Mantenimiento de los Equipos</t>
  </si>
  <si>
    <t>Equipos</t>
  </si>
  <si>
    <t>Administración</t>
  </si>
  <si>
    <t>Descripción</t>
  </si>
  <si>
    <t>Extensión / Tamaño</t>
  </si>
  <si>
    <t>Frecuencia / Fechas</t>
  </si>
  <si>
    <t>Porcentaje</t>
  </si>
  <si>
    <t>Costo Mensual</t>
  </si>
  <si>
    <t>Costo Anual 2012</t>
  </si>
  <si>
    <t>Costo Anual 2013</t>
  </si>
  <si>
    <t>Costo Anual 2014</t>
  </si>
  <si>
    <t>Costo Anual 2015</t>
  </si>
  <si>
    <t>Costo Anual 2016</t>
  </si>
  <si>
    <t>Televisión</t>
  </si>
  <si>
    <t>Bendita TV</t>
  </si>
  <si>
    <t>208.800 hogares</t>
  </si>
  <si>
    <t>Un anuncio por semana</t>
  </si>
  <si>
    <t>Radio</t>
  </si>
  <si>
    <t>Anuncio diario</t>
  </si>
  <si>
    <t>Perros de la Calle</t>
  </si>
  <si>
    <t>85.000 individuos</t>
  </si>
  <si>
    <t>Bien Levantado</t>
  </si>
  <si>
    <t>90.000 individuos</t>
  </si>
  <si>
    <t>Diarios</t>
  </si>
  <si>
    <t>Popular</t>
  </si>
  <si>
    <t>70.000 por día</t>
  </si>
  <si>
    <t>Revistas</t>
  </si>
  <si>
    <t>Viva</t>
  </si>
  <si>
    <t>800.000 ejemplares</t>
  </si>
  <si>
    <t>Un anuncio por mes</t>
  </si>
  <si>
    <t>Presupuesto de Comunicación</t>
  </si>
  <si>
    <t>Fuerza de Ventas</t>
  </si>
  <si>
    <t>Presupuesto Gastos de Marketing</t>
  </si>
  <si>
    <t xml:space="preserve">Tiempo de compra </t>
  </si>
  <si>
    <t>Gastos de Marketing</t>
  </si>
  <si>
    <t>Sueldos y Cargas Sociales Adm. y MKT</t>
  </si>
  <si>
    <t>Ventas de Contado</t>
  </si>
  <si>
    <t>Compras a Crédito</t>
  </si>
  <si>
    <t>Ventas a Crédito</t>
  </si>
  <si>
    <r>
      <t xml:space="preserve">3 </t>
    </r>
    <r>
      <rPr>
        <sz val="10"/>
        <rFont val="Arial"/>
        <family val="2"/>
      </rPr>
      <t>La empresa estima que el 30% de sus ventas se realizarán a crédito a 30 días y el 70% se cobrará en efectivo.</t>
    </r>
  </si>
  <si>
    <r>
      <t xml:space="preserve">12 </t>
    </r>
    <r>
      <rPr>
        <sz val="10"/>
        <rFont val="Arial"/>
        <family val="2"/>
      </rPr>
      <t>El mobiliario incluye computadora, escritorio, sillas, teléfono y demás elementos de oficina</t>
    </r>
  </si>
  <si>
    <r>
      <t xml:space="preserve">13 </t>
    </r>
    <r>
      <rPr>
        <sz val="10"/>
        <rFont val="Arial"/>
        <family val="2"/>
      </rPr>
      <t>El activo nominal o gastos preoperativos incluye gastos de constitución, habilitación y honorarios profesionales.</t>
    </r>
  </si>
  <si>
    <t>Bandeja</t>
  </si>
  <si>
    <t>Rejilla</t>
  </si>
  <si>
    <t>Pasto sintético</t>
  </si>
  <si>
    <r>
      <t xml:space="preserve">6 </t>
    </r>
    <r>
      <rPr>
        <sz val="10"/>
        <rFont val="Arial"/>
        <family val="2"/>
      </rPr>
      <t>Se establece que el alquiler representará una erogación mensual de $3000.</t>
    </r>
  </si>
  <si>
    <t>Costos Directos</t>
  </si>
  <si>
    <t>A Crédito</t>
  </si>
  <si>
    <t>De Contado</t>
  </si>
  <si>
    <t>Estuche</t>
  </si>
  <si>
    <t>Precio por Unidad</t>
  </si>
  <si>
    <t>Plus Vacacional</t>
  </si>
  <si>
    <t>Contratar una persona por 14 días</t>
  </si>
  <si>
    <t>Marketing</t>
  </si>
  <si>
    <t>Operario</t>
  </si>
  <si>
    <t>v = (1/(1+i))</t>
  </si>
  <si>
    <t>Por día</t>
  </si>
  <si>
    <t>Unidades a producir</t>
  </si>
  <si>
    <t>Por mes</t>
  </si>
  <si>
    <t>Por año</t>
  </si>
  <si>
    <t>Clarín</t>
  </si>
  <si>
    <t>300.000 por día</t>
  </si>
  <si>
    <t>La Nación</t>
  </si>
  <si>
    <t>170.000 por día</t>
  </si>
  <si>
    <t>VAN</t>
  </si>
  <si>
    <t>Capital amort.</t>
  </si>
  <si>
    <t>Cálculo con cuota fija (Sistema de Amort. Francés)</t>
  </si>
  <si>
    <r>
      <t>Cantidad</t>
    </r>
    <r>
      <rPr>
        <vertAlign val="superscript"/>
        <sz val="10"/>
        <rFont val="Arial"/>
        <family val="2"/>
      </rPr>
      <t>1</t>
    </r>
  </si>
  <si>
    <r>
      <t>Precio unitario</t>
    </r>
    <r>
      <rPr>
        <vertAlign val="superscript"/>
        <sz val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</si>
  <si>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 La empresa estima que aproximadamente sus precios tendrán una evolución del 22,5% anual, ya que considera los pronósticos de inflación.</t>
    </r>
  </si>
  <si>
    <r>
      <t>Cobros</t>
    </r>
    <r>
      <rPr>
        <b/>
        <vertAlign val="superscript"/>
        <sz val="10"/>
        <rFont val="Arial"/>
        <family val="2"/>
      </rPr>
      <t>3</t>
    </r>
  </si>
  <si>
    <r>
      <t>Costos Directos</t>
    </r>
    <r>
      <rPr>
        <b/>
        <vertAlign val="superscript"/>
        <sz val="10"/>
        <rFont val="Arial"/>
        <family val="2"/>
      </rPr>
      <t>4</t>
    </r>
  </si>
  <si>
    <r>
      <t>4</t>
    </r>
    <r>
      <rPr>
        <sz val="10"/>
        <rFont val="Arial"/>
        <family val="2"/>
      </rPr>
      <t xml:space="preserve"> La empresa estima que el precio de sus costos directos se incrementarán un 22,5% anual.</t>
    </r>
  </si>
  <si>
    <r>
      <t>Costos Indirectos</t>
    </r>
    <r>
      <rPr>
        <b/>
        <vertAlign val="superscript"/>
        <sz val="10"/>
        <rFont val="Arial"/>
        <family val="2"/>
      </rPr>
      <t>5</t>
    </r>
  </si>
  <si>
    <r>
      <t>Alquiler de Oficina</t>
    </r>
    <r>
      <rPr>
        <vertAlign val="superscript"/>
        <sz val="10"/>
        <rFont val="Arial"/>
        <family val="2"/>
      </rPr>
      <t>6</t>
    </r>
  </si>
  <si>
    <r>
      <t>Servicios</t>
    </r>
    <r>
      <rPr>
        <vertAlign val="superscript"/>
        <sz val="10"/>
        <rFont val="Arial"/>
        <family val="2"/>
      </rPr>
      <t>7</t>
    </r>
  </si>
  <si>
    <r>
      <t>Depreciación de Equipos</t>
    </r>
    <r>
      <rPr>
        <vertAlign val="superscript"/>
        <sz val="10"/>
        <rFont val="Arial"/>
        <family val="2"/>
      </rPr>
      <t>8</t>
    </r>
  </si>
  <si>
    <r>
      <t>5</t>
    </r>
    <r>
      <rPr>
        <sz val="10"/>
        <rFont val="Arial"/>
        <family val="2"/>
      </rPr>
      <t xml:space="preserve"> La empresa estima que el precio del alquiler tendrá una evolución del 15% anual al igual que los servicios, y el resto de los componentes del costo  indirecto un 20% anual.</t>
    </r>
  </si>
  <si>
    <r>
      <t xml:space="preserve">7 </t>
    </r>
    <r>
      <rPr>
        <sz val="10"/>
        <rFont val="Arial"/>
        <family val="2"/>
      </rPr>
      <t>Incluye energía eléctrica, agua y gas.</t>
    </r>
  </si>
  <si>
    <r>
      <t xml:space="preserve">8 </t>
    </r>
    <r>
      <rPr>
        <sz val="10"/>
        <rFont val="Arial"/>
        <family val="2"/>
      </rPr>
      <t>Corresponde a la depreciación de dos equipos de computadoras para operar el sistema.</t>
    </r>
  </si>
  <si>
    <r>
      <t>Sueldos</t>
    </r>
    <r>
      <rPr>
        <vertAlign val="superscript"/>
        <sz val="10"/>
        <rFont val="Arial"/>
        <family val="2"/>
      </rPr>
      <t>9</t>
    </r>
  </si>
  <si>
    <r>
      <t xml:space="preserve">9 </t>
    </r>
    <r>
      <rPr>
        <sz val="10"/>
        <rFont val="Arial"/>
        <family val="2"/>
      </rPr>
      <t>El suelto mensual inicial de la Mano de Obra será de $3000, pero la empresa estima que el mismo aumentará un 22% anual.</t>
    </r>
  </si>
  <si>
    <r>
      <t>Compras</t>
    </r>
    <r>
      <rPr>
        <b/>
        <vertAlign val="superscript"/>
        <sz val="10"/>
        <rFont val="Arial"/>
        <family val="2"/>
      </rPr>
      <t>10</t>
    </r>
  </si>
  <si>
    <r>
      <t xml:space="preserve">10 </t>
    </r>
    <r>
      <rPr>
        <sz val="10"/>
        <rFont val="Arial"/>
        <family val="2"/>
      </rPr>
      <t>Las compras de contado representarán un 65% del total y las compras a crédito un 35% las cuales se cancelarán a los 30 días de efectuadas las mismas.</t>
    </r>
  </si>
  <si>
    <r>
      <t>Sueldo</t>
    </r>
    <r>
      <rPr>
        <vertAlign val="superscript"/>
        <sz val="10"/>
        <rFont val="Arial"/>
        <family val="2"/>
      </rPr>
      <t>11</t>
    </r>
  </si>
  <si>
    <r>
      <t>Depreciación Mobiliario</t>
    </r>
    <r>
      <rPr>
        <vertAlign val="superscript"/>
        <sz val="10"/>
        <rFont val="Arial"/>
        <family val="2"/>
      </rPr>
      <t>12</t>
    </r>
  </si>
  <si>
    <r>
      <t>Depreciación Activo Nominal</t>
    </r>
    <r>
      <rPr>
        <vertAlign val="superscript"/>
        <sz val="10"/>
        <rFont val="Arial"/>
        <family val="2"/>
      </rPr>
      <t>13</t>
    </r>
  </si>
  <si>
    <r>
      <t>11</t>
    </r>
    <r>
      <rPr>
        <sz val="10"/>
        <rFont val="Arial"/>
        <family val="2"/>
      </rPr>
      <t xml:space="preserve"> La empresa contará con un solo empleado administrativo el cual cobrará $3500 por mes más SAC y Vacaciones, se estima que el sueldo tendrá una evolución del 12% anual</t>
    </r>
  </si>
  <si>
    <r>
      <t>Impuestos Varios</t>
    </r>
    <r>
      <rPr>
        <vertAlign val="superscript"/>
        <sz val="10"/>
        <rFont val="Arial"/>
        <family val="2"/>
      </rPr>
      <t>14</t>
    </r>
  </si>
  <si>
    <r>
      <t xml:space="preserve">14 </t>
    </r>
    <r>
      <rPr>
        <sz val="10"/>
        <rFont val="Arial"/>
        <family val="2"/>
      </rPr>
      <t>Se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estima una presión tributaria del 30% anual sobre las ventas</t>
    </r>
  </si>
  <si>
    <r>
      <t>Sueldo</t>
    </r>
    <r>
      <rPr>
        <vertAlign val="superscript"/>
        <sz val="10"/>
        <rFont val="Arial"/>
        <family val="2"/>
      </rPr>
      <t>15</t>
    </r>
  </si>
  <si>
    <r>
      <t>Comisiones</t>
    </r>
    <r>
      <rPr>
        <vertAlign val="superscript"/>
        <sz val="10"/>
        <rFont val="Arial"/>
        <family val="2"/>
      </rPr>
      <t>16</t>
    </r>
  </si>
  <si>
    <r>
      <t>15</t>
    </r>
    <r>
      <rPr>
        <sz val="10"/>
        <rFont val="Arial"/>
        <family val="2"/>
      </rPr>
      <t xml:space="preserve"> La empresa contará con un único vendedor el cual percibirá un sueldo base de $2750 más SAC y Plus Vacacional, estimándose una evolución del mismo del 25% anual</t>
    </r>
  </si>
  <si>
    <r>
      <t>16</t>
    </r>
    <r>
      <rPr>
        <sz val="10"/>
        <rFont val="Arial"/>
        <family val="2"/>
      </rPr>
      <t xml:space="preserve"> Además se otorgará al vendedor comisiones sobre ventas del 2%</t>
    </r>
  </si>
  <si>
    <r>
      <t>Publicidad</t>
    </r>
    <r>
      <rPr>
        <b/>
        <vertAlign val="superscript"/>
        <sz val="10"/>
        <color indexed="8"/>
        <rFont val="Arial"/>
        <family val="2"/>
      </rPr>
      <t>18</t>
    </r>
  </si>
  <si>
    <r>
      <t xml:space="preserve">18 </t>
    </r>
    <r>
      <rPr>
        <sz val="10"/>
        <rFont val="Arial"/>
        <family val="2"/>
      </rPr>
      <t xml:space="preserve"> La empresa estima una evolución del precio de la publicidad en televisión, radio, diarios, revistas y páginas web del 18% anual.</t>
    </r>
  </si>
  <si>
    <t>Unidades por día</t>
  </si>
  <si>
    <r>
      <t>1</t>
    </r>
    <r>
      <rPr>
        <sz val="10"/>
        <rFont val="Arial"/>
        <family val="2"/>
      </rPr>
      <t xml:space="preserve"> En función del análisis de mercado efectuado, la empresa estima un crecimiento de sus ventas (con respecto al año inmediato anterior) del orden del 10% los primeros dos años, aumentando un 5% más, los últimos dos años.</t>
    </r>
  </si>
  <si>
    <t>Costo por Unidad</t>
  </si>
  <si>
    <t>Camioneta</t>
  </si>
  <si>
    <t>Amort. mob + camioneta</t>
  </si>
  <si>
    <t>TASA DE CORTE</t>
  </si>
  <si>
    <t>VAN (calculado sin fórmula de excel)</t>
  </si>
  <si>
    <t>Valor Actual de los Dividendos</t>
  </si>
  <si>
    <t>El TIR es la tasa que hace el VAN cero =</t>
  </si>
  <si>
    <t>www.SinElefantesBlancos.com.ar</t>
  </si>
</sst>
</file>

<file path=xl/styles.xml><?xml version="1.0" encoding="utf-8"?>
<styleSheet xmlns="http://schemas.openxmlformats.org/spreadsheetml/2006/main">
  <numFmts count="8">
    <numFmt numFmtId="6" formatCode="&quot;$&quot;\ #,##0;[Red]&quot;$&quot;\ \-#,##0"/>
    <numFmt numFmtId="164" formatCode="0.000"/>
    <numFmt numFmtId="165" formatCode="[$$-2C0A]\ #,##0"/>
    <numFmt numFmtId="166" formatCode="[$$-2C0A]\ #,##0.00"/>
    <numFmt numFmtId="167" formatCode="#,##0.00_ ;[Red]\-#,##0.00\ "/>
    <numFmt numFmtId="168" formatCode="[$$-2C0A]\ #,##0.00;[Red][$$-2C0A]\ \-#,##0.00"/>
    <numFmt numFmtId="169" formatCode="[$-C0A]mmm\-yy;@"/>
    <numFmt numFmtId="170" formatCode="#,##0_ ;[Red]\-#,##0\ 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26"/>
      <color theme="10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NumberFormat="1" applyFont="1" applyFill="1" applyBorder="1" applyAlignment="1"/>
    <xf numFmtId="4" fontId="3" fillId="0" borderId="0" xfId="0" applyNumberFormat="1" applyFont="1"/>
    <xf numFmtId="0" fontId="6" fillId="0" borderId="0" xfId="0" applyFont="1"/>
    <xf numFmtId="0" fontId="2" fillId="0" borderId="0" xfId="0" applyFont="1" applyFill="1"/>
    <xf numFmtId="40" fontId="2" fillId="0" borderId="0" xfId="0" applyNumberFormat="1" applyFont="1"/>
    <xf numFmtId="165" fontId="2" fillId="0" borderId="0" xfId="0" applyNumberFormat="1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15" xfId="0" applyFont="1" applyBorder="1"/>
    <xf numFmtId="0" fontId="2" fillId="0" borderId="10" xfId="0" applyFont="1" applyBorder="1"/>
    <xf numFmtId="0" fontId="3" fillId="0" borderId="5" xfId="0" applyFont="1" applyBorder="1"/>
    <xf numFmtId="4" fontId="3" fillId="0" borderId="5" xfId="0" applyNumberFormat="1" applyFont="1" applyBorder="1"/>
    <xf numFmtId="4" fontId="2" fillId="0" borderId="12" xfId="0" applyNumberFormat="1" applyFont="1" applyBorder="1"/>
    <xf numFmtId="4" fontId="2" fillId="0" borderId="5" xfId="0" applyNumberFormat="1" applyFont="1" applyBorder="1"/>
    <xf numFmtId="0" fontId="2" fillId="0" borderId="12" xfId="0" applyFont="1" applyBorder="1"/>
    <xf numFmtId="0" fontId="2" fillId="0" borderId="5" xfId="0" applyFont="1" applyBorder="1" applyAlignment="1">
      <alignment wrapText="1"/>
    </xf>
    <xf numFmtId="4" fontId="2" fillId="0" borderId="0" xfId="0" applyNumberFormat="1" applyFont="1"/>
    <xf numFmtId="0" fontId="2" fillId="0" borderId="5" xfId="0" applyFont="1" applyFill="1" applyBorder="1"/>
    <xf numFmtId="4" fontId="2" fillId="0" borderId="5" xfId="0" applyNumberFormat="1" applyFont="1" applyFill="1" applyBorder="1"/>
    <xf numFmtId="4" fontId="2" fillId="0" borderId="12" xfId="0" applyNumberFormat="1" applyFont="1" applyFill="1" applyBorder="1"/>
    <xf numFmtId="0" fontId="2" fillId="0" borderId="14" xfId="0" applyFont="1" applyBorder="1"/>
    <xf numFmtId="4" fontId="2" fillId="0" borderId="14" xfId="0" applyNumberFormat="1" applyFont="1" applyBorder="1"/>
    <xf numFmtId="4" fontId="2" fillId="0" borderId="13" xfId="0" applyNumberFormat="1" applyFont="1" applyBorder="1"/>
    <xf numFmtId="0" fontId="2" fillId="0" borderId="13" xfId="0" applyFont="1" applyBorder="1"/>
    <xf numFmtId="0" fontId="3" fillId="0" borderId="8" xfId="0" applyFont="1" applyBorder="1"/>
    <xf numFmtId="4" fontId="2" fillId="0" borderId="8" xfId="0" applyNumberFormat="1" applyFont="1" applyBorder="1"/>
    <xf numFmtId="10" fontId="2" fillId="0" borderId="0" xfId="0" applyNumberFormat="1" applyFont="1"/>
    <xf numFmtId="2" fontId="2" fillId="0" borderId="0" xfId="0" applyNumberFormat="1" applyFont="1"/>
    <xf numFmtId="0" fontId="2" fillId="3" borderId="8" xfId="0" applyFont="1" applyFill="1" applyBorder="1"/>
    <xf numFmtId="0" fontId="8" fillId="0" borderId="0" xfId="0" applyFont="1"/>
    <xf numFmtId="9" fontId="2" fillId="0" borderId="8" xfId="0" applyNumberFormat="1" applyFont="1" applyFill="1" applyBorder="1"/>
    <xf numFmtId="0" fontId="2" fillId="0" borderId="10" xfId="0" applyFont="1" applyBorder="1" applyAlignment="1">
      <alignment horizontal="center"/>
    </xf>
    <xf numFmtId="4" fontId="2" fillId="0" borderId="15" xfId="0" applyNumberFormat="1" applyFont="1" applyBorder="1"/>
    <xf numFmtId="0" fontId="2" fillId="0" borderId="12" xfId="0" applyFont="1" applyBorder="1" applyAlignment="1">
      <alignment horizontal="center"/>
    </xf>
    <xf numFmtId="167" fontId="2" fillId="0" borderId="12" xfId="0" applyNumberFormat="1" applyFont="1" applyBorder="1"/>
    <xf numFmtId="40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40" fontId="2" fillId="0" borderId="13" xfId="0" applyNumberFormat="1" applyFont="1" applyBorder="1"/>
    <xf numFmtId="167" fontId="2" fillId="0" borderId="9" xfId="0" applyNumberFormat="1" applyFont="1" applyBorder="1"/>
    <xf numFmtId="0" fontId="2" fillId="0" borderId="1" xfId="0" applyFont="1" applyBorder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3" fontId="2" fillId="0" borderId="4" xfId="0" applyNumberFormat="1" applyFont="1" applyFill="1" applyBorder="1"/>
    <xf numFmtId="3" fontId="2" fillId="0" borderId="12" xfId="0" applyNumberFormat="1" applyFont="1" applyBorder="1"/>
    <xf numFmtId="3" fontId="2" fillId="0" borderId="0" xfId="0" applyNumberFormat="1" applyFont="1"/>
    <xf numFmtId="2" fontId="2" fillId="0" borderId="12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6" xfId="0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0" fontId="2" fillId="0" borderId="11" xfId="0" applyFont="1" applyBorder="1"/>
    <xf numFmtId="4" fontId="2" fillId="0" borderId="4" xfId="0" applyNumberFormat="1" applyFont="1" applyFill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2" fillId="0" borderId="4" xfId="0" applyFont="1" applyFill="1" applyBorder="1"/>
    <xf numFmtId="0" fontId="2" fillId="0" borderId="6" xfId="0" applyFont="1" applyBorder="1" applyAlignment="1">
      <alignment wrapText="1" shrinkToFit="1"/>
    </xf>
    <xf numFmtId="3" fontId="2" fillId="0" borderId="6" xfId="0" applyNumberFormat="1" applyFont="1" applyBorder="1"/>
    <xf numFmtId="3" fontId="2" fillId="0" borderId="13" xfId="0" applyNumberFormat="1" applyFont="1" applyBorder="1"/>
    <xf numFmtId="3" fontId="2" fillId="0" borderId="8" xfId="0" applyNumberFormat="1" applyFont="1" applyBorder="1"/>
    <xf numFmtId="0" fontId="2" fillId="0" borderId="8" xfId="0" applyFont="1" applyFill="1" applyBorder="1"/>
    <xf numFmtId="0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3" fontId="2" fillId="0" borderId="12" xfId="0" applyNumberFormat="1" applyFont="1" applyFill="1" applyBorder="1"/>
    <xf numFmtId="6" fontId="3" fillId="0" borderId="0" xfId="0" applyNumberFormat="1" applyFont="1" applyBorder="1" applyAlignment="1">
      <alignment horizontal="center" wrapText="1"/>
    </xf>
    <xf numFmtId="0" fontId="3" fillId="0" borderId="13" xfId="0" applyFont="1" applyBorder="1"/>
    <xf numFmtId="165" fontId="2" fillId="0" borderId="13" xfId="0" applyNumberFormat="1" applyFont="1" applyBorder="1"/>
    <xf numFmtId="2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166" fontId="2" fillId="0" borderId="6" xfId="0" applyNumberFormat="1" applyFont="1" applyBorder="1"/>
    <xf numFmtId="166" fontId="2" fillId="0" borderId="13" xfId="0" applyNumberFormat="1" applyFont="1" applyBorder="1"/>
    <xf numFmtId="0" fontId="2" fillId="0" borderId="4" xfId="0" applyNumberFormat="1" applyFont="1" applyFill="1" applyBorder="1" applyAlignment="1">
      <alignment wrapText="1"/>
    </xf>
    <xf numFmtId="2" fontId="2" fillId="0" borderId="12" xfId="0" applyNumberFormat="1" applyFont="1" applyFill="1" applyBorder="1" applyAlignment="1"/>
    <xf numFmtId="2" fontId="2" fillId="0" borderId="4" xfId="0" applyNumberFormat="1" applyFont="1" applyFill="1" applyBorder="1" applyAlignment="1"/>
    <xf numFmtId="166" fontId="2" fillId="0" borderId="0" xfId="0" applyNumberFormat="1" applyFont="1" applyFill="1" applyBorder="1"/>
    <xf numFmtId="0" fontId="3" fillId="0" borderId="0" xfId="0" applyNumberFormat="1" applyFont="1" applyFill="1" applyBorder="1" applyAlignment="1"/>
    <xf numFmtId="166" fontId="2" fillId="0" borderId="0" xfId="0" applyNumberFormat="1" applyFont="1" applyBorder="1"/>
    <xf numFmtId="0" fontId="2" fillId="0" borderId="0" xfId="0" applyFont="1" applyAlignment="1">
      <alignment horizontal="justify"/>
    </xf>
    <xf numFmtId="2" fontId="2" fillId="0" borderId="13" xfId="0" applyNumberFormat="1" applyFont="1" applyBorder="1"/>
    <xf numFmtId="2" fontId="2" fillId="0" borderId="14" xfId="0" applyNumberFormat="1" applyFont="1" applyBorder="1"/>
    <xf numFmtId="0" fontId="3" fillId="0" borderId="8" xfId="0" applyFont="1" applyBorder="1" applyAlignment="1">
      <alignment shrinkToFit="1"/>
    </xf>
    <xf numFmtId="166" fontId="2" fillId="0" borderId="8" xfId="0" applyNumberFormat="1" applyFont="1" applyBorder="1"/>
    <xf numFmtId="0" fontId="3" fillId="0" borderId="0" xfId="0" applyFont="1" applyBorder="1"/>
    <xf numFmtId="3" fontId="2" fillId="0" borderId="0" xfId="0" applyNumberFormat="1" applyFont="1" applyBorder="1"/>
    <xf numFmtId="10" fontId="2" fillId="0" borderId="8" xfId="0" applyNumberFormat="1" applyFont="1" applyBorder="1"/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wrapText="1"/>
    </xf>
    <xf numFmtId="4" fontId="2" fillId="0" borderId="6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 applyBorder="1"/>
    <xf numFmtId="0" fontId="2" fillId="0" borderId="12" xfId="0" applyFont="1" applyBorder="1" applyAlignment="1">
      <alignment vertical="center"/>
    </xf>
    <xf numFmtId="166" fontId="2" fillId="0" borderId="12" xfId="0" applyNumberFormat="1" applyFont="1" applyBorder="1" applyAlignment="1">
      <alignment vertical="center"/>
    </xf>
    <xf numFmtId="2" fontId="2" fillId="0" borderId="6" xfId="0" applyNumberFormat="1" applyFont="1" applyBorder="1"/>
    <xf numFmtId="166" fontId="2" fillId="0" borderId="7" xfId="0" applyNumberFormat="1" applyFont="1" applyBorder="1"/>
    <xf numFmtId="0" fontId="6" fillId="0" borderId="5" xfId="0" applyFont="1" applyBorder="1"/>
    <xf numFmtId="4" fontId="2" fillId="0" borderId="0" xfId="0" applyNumberFormat="1" applyFont="1" applyBorder="1"/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9" fontId="12" fillId="0" borderId="1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9" fontId="12" fillId="0" borderId="8" xfId="0" applyNumberFormat="1" applyFont="1" applyBorder="1" applyAlignment="1">
      <alignment horizontal="center" vertical="center"/>
    </xf>
    <xf numFmtId="166" fontId="2" fillId="0" borderId="0" xfId="0" applyNumberFormat="1" applyFont="1" applyFill="1"/>
    <xf numFmtId="0" fontId="2" fillId="0" borderId="0" xfId="0" applyNumberFormat="1" applyFont="1" applyFill="1"/>
    <xf numFmtId="0" fontId="13" fillId="0" borderId="0" xfId="0" applyFont="1"/>
    <xf numFmtId="4" fontId="2" fillId="0" borderId="0" xfId="0" applyNumberFormat="1" applyFont="1" applyFill="1"/>
    <xf numFmtId="0" fontId="2" fillId="0" borderId="8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0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1" fontId="2" fillId="0" borderId="10" xfId="0" applyNumberFormat="1" applyFont="1" applyBorder="1"/>
    <xf numFmtId="166" fontId="2" fillId="0" borderId="0" xfId="0" applyNumberFormat="1" applyFont="1" applyFill="1" applyBorder="1" applyAlignment="1"/>
    <xf numFmtId="0" fontId="2" fillId="0" borderId="8" xfId="0" applyNumberFormat="1" applyFont="1" applyFill="1" applyBorder="1" applyAlignment="1"/>
    <xf numFmtId="166" fontId="2" fillId="0" borderId="8" xfId="0" applyNumberFormat="1" applyFont="1" applyFill="1" applyBorder="1" applyAlignment="1"/>
    <xf numFmtId="40" fontId="7" fillId="0" borderId="8" xfId="0" applyNumberFormat="1" applyFont="1" applyFill="1" applyBorder="1"/>
    <xf numFmtId="0" fontId="16" fillId="0" borderId="0" xfId="0" applyFont="1"/>
    <xf numFmtId="0" fontId="17" fillId="0" borderId="18" xfId="0" applyFont="1" applyBorder="1" applyAlignment="1">
      <alignment horizontal="center" vertical="center"/>
    </xf>
    <xf numFmtId="10" fontId="17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10" fontId="16" fillId="0" borderId="8" xfId="1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8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 vertical="center"/>
    </xf>
    <xf numFmtId="168" fontId="16" fillId="0" borderId="8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4" fontId="17" fillId="0" borderId="8" xfId="0" applyNumberFormat="1" applyFont="1" applyFill="1" applyBorder="1" applyAlignment="1">
      <alignment horizontal="center" vertical="center"/>
    </xf>
    <xf numFmtId="10" fontId="17" fillId="0" borderId="8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8" fontId="16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9" fontId="1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0" xfId="0" applyFont="1" applyAlignment="1"/>
    <xf numFmtId="0" fontId="17" fillId="0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0" fontId="1" fillId="0" borderId="0" xfId="0" applyFont="1" applyAlignment="1">
      <alignment horizontal="center" vertical="center"/>
    </xf>
    <xf numFmtId="0" fontId="18" fillId="4" borderId="16" xfId="2" applyNumberFormat="1" applyFont="1" applyFill="1" applyBorder="1" applyAlignment="1" applyProtection="1">
      <alignment horizontal="center" vertical="center"/>
    </xf>
    <xf numFmtId="0" fontId="19" fillId="4" borderId="19" xfId="0" applyFont="1" applyFill="1" applyBorder="1" applyAlignment="1" applyProtection="1"/>
    <xf numFmtId="0" fontId="19" fillId="4" borderId="17" xfId="0" applyFont="1" applyFill="1" applyBorder="1" applyAlignment="1" applyProtection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</cellXfs>
  <cellStyles count="3">
    <cellStyle name="Hipervínculo" xfId="2" builtinId="8"/>
    <cellStyle name="Normal" xfId="0" builtinId="0"/>
    <cellStyle name="Porcentual" xfId="1" builtinId="5"/>
  </cellStyles>
  <dxfs count="1">
    <dxf>
      <fill>
        <patternFill patternType="gray0625"/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nelefantesblancos.com.ar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7"/>
  <sheetViews>
    <sheetView topLeftCell="A60" workbookViewId="0">
      <selection activeCell="C82" sqref="C82"/>
    </sheetView>
  </sheetViews>
  <sheetFormatPr baseColWidth="10" defaultRowHeight="12.75"/>
  <cols>
    <col min="1" max="1" width="5.7109375" style="1" customWidth="1"/>
    <col min="2" max="2" width="35.7109375" style="1" customWidth="1"/>
    <col min="3" max="3" width="17.42578125" style="1" customWidth="1"/>
    <col min="4" max="4" width="16.5703125" style="1" customWidth="1"/>
    <col min="5" max="5" width="17.140625" style="1" customWidth="1"/>
    <col min="6" max="6" width="21" style="1" customWidth="1"/>
    <col min="7" max="7" width="17.85546875" style="1" customWidth="1"/>
    <col min="8" max="8" width="14.7109375" style="1" customWidth="1"/>
    <col min="9" max="9" width="13.42578125" style="1" customWidth="1"/>
    <col min="10" max="10" width="13.140625" style="1" customWidth="1"/>
    <col min="11" max="11" width="13.28515625" style="1" customWidth="1"/>
    <col min="12" max="12" width="13.7109375" style="1" customWidth="1"/>
    <col min="13" max="16384" width="11.42578125" style="1"/>
  </cols>
  <sheetData>
    <row r="1" spans="2:9" ht="10.5" customHeight="1"/>
    <row r="2" spans="2:9">
      <c r="C2" s="170">
        <v>2012</v>
      </c>
      <c r="D2" s="171"/>
      <c r="E2" s="172"/>
    </row>
    <row r="3" spans="2:9">
      <c r="B3" s="2"/>
      <c r="C3" s="11" t="s">
        <v>122</v>
      </c>
      <c r="D3" s="11" t="s">
        <v>124</v>
      </c>
      <c r="E3" s="11" t="s">
        <v>125</v>
      </c>
    </row>
    <row r="4" spans="2:9">
      <c r="B4" s="44" t="s">
        <v>123</v>
      </c>
      <c r="C4" s="11">
        <v>40</v>
      </c>
      <c r="D4" s="11">
        <f>C4*22</f>
        <v>880</v>
      </c>
      <c r="E4" s="11">
        <f>D4*12</f>
        <v>10560</v>
      </c>
    </row>
    <row r="6" spans="2:9">
      <c r="B6" s="6" t="s">
        <v>7</v>
      </c>
    </row>
    <row r="7" spans="2:9">
      <c r="I7" s="45"/>
    </row>
    <row r="8" spans="2:9">
      <c r="B8" s="173" t="s">
        <v>0</v>
      </c>
      <c r="C8" s="167" t="s">
        <v>1</v>
      </c>
      <c r="D8" s="168"/>
      <c r="E8" s="168"/>
      <c r="F8" s="168"/>
      <c r="G8" s="169"/>
      <c r="I8" s="45"/>
    </row>
    <row r="9" spans="2:9">
      <c r="B9" s="174"/>
      <c r="C9" s="46">
        <v>2012</v>
      </c>
      <c r="D9" s="47">
        <v>2013</v>
      </c>
      <c r="E9" s="48">
        <v>2014</v>
      </c>
      <c r="F9" s="47">
        <v>2015</v>
      </c>
      <c r="G9" s="49">
        <v>2016</v>
      </c>
      <c r="I9" s="45"/>
    </row>
    <row r="10" spans="2:9">
      <c r="B10" s="14" t="s">
        <v>162</v>
      </c>
      <c r="C10" s="1">
        <v>40</v>
      </c>
      <c r="D10" s="14">
        <f>C10*1.1</f>
        <v>44</v>
      </c>
      <c r="E10" s="135">
        <f>D10*1.1</f>
        <v>48.400000000000006</v>
      </c>
      <c r="F10" s="135">
        <f>E10*1.15</f>
        <v>55.660000000000004</v>
      </c>
      <c r="G10" s="135">
        <f>F10*1.15</f>
        <v>64.009</v>
      </c>
      <c r="H10" s="50"/>
      <c r="I10" s="45"/>
    </row>
    <row r="11" spans="2:9" ht="14.25">
      <c r="B11" s="50" t="s">
        <v>133</v>
      </c>
      <c r="C11" s="51">
        <f>E4</f>
        <v>10560</v>
      </c>
      <c r="D11" s="52">
        <f>+C11*1.1</f>
        <v>11616.000000000002</v>
      </c>
      <c r="E11" s="52">
        <f>+D11*1.1</f>
        <v>12777.600000000002</v>
      </c>
      <c r="F11" s="52">
        <f>+E11*1.15</f>
        <v>14694.240000000002</v>
      </c>
      <c r="G11" s="52">
        <f>+F11*1.15</f>
        <v>16898.376</v>
      </c>
      <c r="H11" s="53"/>
      <c r="I11" s="45"/>
    </row>
    <row r="12" spans="2:9" ht="14.25">
      <c r="B12" s="50" t="s">
        <v>134</v>
      </c>
      <c r="C12" s="24">
        <v>200</v>
      </c>
      <c r="D12" s="54">
        <f>+C12*1.225</f>
        <v>245.00000000000003</v>
      </c>
      <c r="E12" s="54">
        <f t="shared" ref="E12:G12" si="0">+D12*1.225</f>
        <v>300.12500000000006</v>
      </c>
      <c r="F12" s="54">
        <f t="shared" si="0"/>
        <v>367.6531250000001</v>
      </c>
      <c r="G12" s="54">
        <f t="shared" si="0"/>
        <v>450.37507812500013</v>
      </c>
    </row>
    <row r="13" spans="2:9">
      <c r="B13" s="57" t="s">
        <v>9</v>
      </c>
      <c r="C13" s="58">
        <f>+C11*C12</f>
        <v>2112000</v>
      </c>
      <c r="D13" s="58">
        <f>+D11*D12</f>
        <v>2845920.0000000009</v>
      </c>
      <c r="E13" s="58">
        <f>+E11*E12</f>
        <v>3834877.2000000016</v>
      </c>
      <c r="F13" s="58">
        <f>+F11*F12</f>
        <v>5402383.2555000018</v>
      </c>
      <c r="G13" s="59">
        <f>+G11*G12</f>
        <v>7610607.4111856269</v>
      </c>
    </row>
    <row r="14" spans="2:9">
      <c r="D14" s="60"/>
      <c r="E14" s="60"/>
      <c r="F14" s="60"/>
      <c r="G14" s="60"/>
    </row>
    <row r="15" spans="2:9" ht="14.25">
      <c r="B15" s="3" t="s">
        <v>163</v>
      </c>
    </row>
    <row r="16" spans="2:9" ht="14.25">
      <c r="B16" s="3" t="s">
        <v>135</v>
      </c>
    </row>
    <row r="18" spans="2:10">
      <c r="B18" s="6" t="s">
        <v>8</v>
      </c>
    </row>
    <row r="20" spans="2:10">
      <c r="B20" s="173" t="s">
        <v>136</v>
      </c>
      <c r="C20" s="167" t="s">
        <v>1</v>
      </c>
      <c r="D20" s="168"/>
      <c r="E20" s="168"/>
      <c r="F20" s="168"/>
      <c r="G20" s="169"/>
    </row>
    <row r="21" spans="2:10">
      <c r="B21" s="174"/>
      <c r="C21" s="46">
        <v>2012</v>
      </c>
      <c r="D21" s="47">
        <v>2013</v>
      </c>
      <c r="E21" s="49">
        <v>2014</v>
      </c>
      <c r="F21" s="47">
        <v>2015</v>
      </c>
      <c r="G21" s="49">
        <v>2016</v>
      </c>
    </row>
    <row r="22" spans="2:10">
      <c r="B22" s="10" t="s">
        <v>15</v>
      </c>
      <c r="C22" s="30">
        <f>+C13*0.7</f>
        <v>1478400</v>
      </c>
      <c r="D22" s="30">
        <f>+D13*0.7</f>
        <v>1992144.0000000005</v>
      </c>
      <c r="E22" s="30">
        <f>+E13*0.7</f>
        <v>2684414.040000001</v>
      </c>
      <c r="F22" s="30">
        <f>+F13*0.7</f>
        <v>3781668.2788500008</v>
      </c>
      <c r="G22" s="30">
        <f>+G13*0.7</f>
        <v>5327425.1878299387</v>
      </c>
      <c r="H22" s="61"/>
    </row>
    <row r="23" spans="2:10">
      <c r="B23" s="50" t="s">
        <v>104</v>
      </c>
      <c r="C23" s="62">
        <f>+C13*0.3</f>
        <v>633600</v>
      </c>
      <c r="D23" s="62">
        <f>+D13*0.3</f>
        <v>853776.00000000023</v>
      </c>
      <c r="E23" s="62">
        <f>+E13*0.3</f>
        <v>1150463.1600000004</v>
      </c>
      <c r="F23" s="62">
        <f>+F13*0.3</f>
        <v>1620714.9766500005</v>
      </c>
      <c r="G23" s="62">
        <f>+G13*0.3</f>
        <v>2283182.2233556882</v>
      </c>
      <c r="H23" s="50"/>
    </row>
    <row r="24" spans="2:10" ht="12.75" customHeight="1">
      <c r="B24" s="63" t="s">
        <v>50</v>
      </c>
      <c r="C24" s="30">
        <f>+(C23/12)*11</f>
        <v>580800</v>
      </c>
      <c r="D24" s="30">
        <f>+(D23/12)*11</f>
        <v>782628.00000000012</v>
      </c>
      <c r="E24" s="30">
        <f>+(E23/12)*11</f>
        <v>1054591.2300000004</v>
      </c>
      <c r="F24" s="30">
        <f>+(F23/12)*11</f>
        <v>1485655.3952625005</v>
      </c>
      <c r="G24" s="30">
        <f>+(G23/12)*11</f>
        <v>2092917.0380760476</v>
      </c>
      <c r="H24" s="64"/>
      <c r="I24" s="2"/>
      <c r="J24" s="2"/>
    </row>
    <row r="25" spans="2:10" ht="30" customHeight="1">
      <c r="B25" s="65" t="s">
        <v>51</v>
      </c>
      <c r="C25" s="55"/>
      <c r="D25" s="27">
        <f>+(C23/12)</f>
        <v>52800</v>
      </c>
      <c r="E25" s="27">
        <f>+(D23/12)</f>
        <v>71148.000000000015</v>
      </c>
      <c r="F25" s="27">
        <f>+(E23/12)</f>
        <v>95871.930000000037</v>
      </c>
      <c r="G25" s="27">
        <f>+(F23/12)</f>
        <v>135059.58138750005</v>
      </c>
    </row>
    <row r="26" spans="2:10">
      <c r="B26" s="57" t="s">
        <v>53</v>
      </c>
      <c r="C26" s="66">
        <f>+C22+C24+C25</f>
        <v>2059200</v>
      </c>
      <c r="D26" s="66">
        <f>+D22+D24+D25</f>
        <v>2827572.0000000005</v>
      </c>
      <c r="E26" s="67">
        <f>+E22+E24+E25</f>
        <v>3810153.2700000014</v>
      </c>
      <c r="F26" s="66">
        <f>+F22+F24+F25</f>
        <v>5363195.6041125013</v>
      </c>
      <c r="G26" s="68">
        <f>+G22+G24+G25</f>
        <v>7555401.8072934868</v>
      </c>
    </row>
    <row r="27" spans="2:10">
      <c r="B27" s="69" t="s">
        <v>44</v>
      </c>
      <c r="C27" s="68">
        <f>+C23/12</f>
        <v>52800</v>
      </c>
      <c r="D27" s="68">
        <f>+D23/12</f>
        <v>71148.000000000015</v>
      </c>
      <c r="E27" s="68">
        <f>+E23/12</f>
        <v>95871.930000000037</v>
      </c>
      <c r="F27" s="68">
        <f>+F23/12</f>
        <v>135059.58138750005</v>
      </c>
      <c r="G27" s="68">
        <f>+G23/12</f>
        <v>190265.18527964069</v>
      </c>
      <c r="H27" s="32"/>
      <c r="I27" s="32"/>
      <c r="J27" s="32"/>
    </row>
    <row r="28" spans="2:10">
      <c r="C28" s="70"/>
    </row>
    <row r="29" spans="2:10" ht="14.25">
      <c r="B29" s="3" t="s">
        <v>105</v>
      </c>
      <c r="C29" s="70"/>
    </row>
    <row r="30" spans="2:10">
      <c r="C30" s="70"/>
    </row>
    <row r="31" spans="2:10">
      <c r="B31" s="6" t="s">
        <v>11</v>
      </c>
      <c r="C31" s="70"/>
    </row>
    <row r="33" spans="1:12" ht="14.25">
      <c r="B33" s="71" t="s">
        <v>137</v>
      </c>
      <c r="C33" s="72" t="s">
        <v>64</v>
      </c>
      <c r="D33" s="72" t="s">
        <v>116</v>
      </c>
      <c r="F33" s="2"/>
      <c r="G33" s="2"/>
      <c r="H33" s="2"/>
      <c r="I33" s="73"/>
      <c r="J33" s="73"/>
      <c r="K33" s="73"/>
      <c r="L33" s="73"/>
    </row>
    <row r="34" spans="1:12">
      <c r="B34" s="19" t="s">
        <v>108</v>
      </c>
      <c r="C34" s="75">
        <f>D34*$C$11</f>
        <v>475200</v>
      </c>
      <c r="D34" s="75">
        <v>45</v>
      </c>
      <c r="G34" s="2"/>
      <c r="H34" s="2"/>
      <c r="I34" s="74"/>
      <c r="J34" s="73"/>
      <c r="K34" s="73"/>
      <c r="L34" s="73"/>
    </row>
    <row r="35" spans="1:12">
      <c r="B35" s="19" t="s">
        <v>109</v>
      </c>
      <c r="C35" s="75">
        <f t="shared" ref="C35:C37" si="1">D35*$C$11</f>
        <v>211200</v>
      </c>
      <c r="D35" s="75">
        <v>20</v>
      </c>
      <c r="G35" s="2"/>
      <c r="H35" s="2"/>
      <c r="I35" s="74"/>
      <c r="J35" s="73"/>
      <c r="K35" s="73"/>
      <c r="L35" s="73"/>
    </row>
    <row r="36" spans="1:12">
      <c r="B36" s="19" t="s">
        <v>110</v>
      </c>
      <c r="C36" s="75">
        <f t="shared" si="1"/>
        <v>422400</v>
      </c>
      <c r="D36" s="75">
        <v>40</v>
      </c>
      <c r="G36" s="2"/>
      <c r="H36" s="73"/>
      <c r="I36" s="73"/>
      <c r="J36" s="73"/>
      <c r="K36" s="73"/>
      <c r="L36" s="76"/>
    </row>
    <row r="37" spans="1:12">
      <c r="B37" s="19" t="s">
        <v>115</v>
      </c>
      <c r="C37" s="75">
        <f t="shared" si="1"/>
        <v>105600</v>
      </c>
      <c r="D37" s="75">
        <v>10</v>
      </c>
      <c r="G37" s="2"/>
      <c r="H37" s="2"/>
      <c r="I37" s="74"/>
      <c r="J37" s="73"/>
      <c r="K37" s="73"/>
      <c r="L37" s="76"/>
    </row>
    <row r="38" spans="1:12">
      <c r="B38" s="77" t="s">
        <v>14</v>
      </c>
      <c r="C38" s="78">
        <f>SUM(C34:C37)</f>
        <v>1214400</v>
      </c>
      <c r="D38" s="78">
        <f>SUM(D34:D37)</f>
        <v>115</v>
      </c>
      <c r="G38" s="2"/>
      <c r="H38" s="2"/>
      <c r="I38" s="74"/>
      <c r="J38" s="73"/>
      <c r="K38" s="73"/>
      <c r="L38" s="76"/>
    </row>
    <row r="39" spans="1:12">
      <c r="B39" s="2"/>
      <c r="C39" s="2"/>
      <c r="D39" s="2"/>
      <c r="E39" s="2"/>
      <c r="G39" s="2"/>
      <c r="H39" s="2"/>
      <c r="I39" s="74"/>
      <c r="J39" s="73"/>
      <c r="K39" s="73"/>
      <c r="L39" s="73"/>
    </row>
    <row r="40" spans="1:12" ht="14.25">
      <c r="B40" s="3" t="s">
        <v>138</v>
      </c>
      <c r="D40" s="2"/>
      <c r="E40" s="2"/>
    </row>
    <row r="41" spans="1:12">
      <c r="D41" s="2"/>
      <c r="E41" s="2"/>
    </row>
    <row r="42" spans="1:12">
      <c r="B42" s="175" t="s">
        <v>112</v>
      </c>
      <c r="C42" s="177" t="s">
        <v>1</v>
      </c>
      <c r="D42" s="177"/>
      <c r="E42" s="177"/>
      <c r="F42" s="177"/>
      <c r="G42" s="178"/>
    </row>
    <row r="43" spans="1:12">
      <c r="B43" s="176"/>
      <c r="C43" s="46">
        <v>2012</v>
      </c>
      <c r="D43" s="47">
        <v>2013</v>
      </c>
      <c r="E43" s="47">
        <v>2014</v>
      </c>
      <c r="F43" s="47">
        <v>2015</v>
      </c>
      <c r="G43" s="49">
        <v>2016</v>
      </c>
    </row>
    <row r="44" spans="1:12">
      <c r="B44" s="19" t="s">
        <v>108</v>
      </c>
      <c r="C44" s="52">
        <f>+C34</f>
        <v>475200</v>
      </c>
      <c r="D44" s="52">
        <f>+C44*1.225</f>
        <v>582120</v>
      </c>
      <c r="E44" s="52">
        <f t="shared" ref="E44:G44" si="2">+D44*1.225</f>
        <v>713097</v>
      </c>
      <c r="F44" s="52">
        <f t="shared" si="2"/>
        <v>873543.82500000007</v>
      </c>
      <c r="G44" s="52">
        <f t="shared" si="2"/>
        <v>1070091.1856250002</v>
      </c>
      <c r="H44" s="50"/>
      <c r="I44" s="79"/>
      <c r="J44" s="2"/>
    </row>
    <row r="45" spans="1:12">
      <c r="B45" s="19" t="s">
        <v>109</v>
      </c>
      <c r="C45" s="52">
        <f>+C35</f>
        <v>211200</v>
      </c>
      <c r="D45" s="52">
        <f t="shared" ref="D45:G45" si="3">+C45*1.225</f>
        <v>258720.00000000003</v>
      </c>
      <c r="E45" s="52">
        <f t="shared" si="3"/>
        <v>316932.00000000006</v>
      </c>
      <c r="F45" s="52">
        <f t="shared" si="3"/>
        <v>388241.70000000013</v>
      </c>
      <c r="G45" s="52">
        <f t="shared" si="3"/>
        <v>475596.08250000019</v>
      </c>
    </row>
    <row r="46" spans="1:12">
      <c r="B46" s="19" t="s">
        <v>110</v>
      </c>
      <c r="C46" s="52">
        <f>+C36</f>
        <v>422400</v>
      </c>
      <c r="D46" s="52">
        <f t="shared" ref="D46:G46" si="4">+C46*1.225</f>
        <v>517440.00000000006</v>
      </c>
      <c r="E46" s="52">
        <f t="shared" si="4"/>
        <v>633864.00000000012</v>
      </c>
      <c r="F46" s="52">
        <f t="shared" si="4"/>
        <v>776483.40000000026</v>
      </c>
      <c r="G46" s="52">
        <f t="shared" si="4"/>
        <v>951192.16500000039</v>
      </c>
    </row>
    <row r="47" spans="1:12">
      <c r="B47" s="19" t="s">
        <v>115</v>
      </c>
      <c r="C47" s="52">
        <f>C37</f>
        <v>105600</v>
      </c>
      <c r="D47" s="52">
        <f t="shared" ref="D47" si="5">+C47*1.225</f>
        <v>129360.00000000001</v>
      </c>
      <c r="E47" s="52">
        <f t="shared" ref="E47" si="6">+D47*1.225</f>
        <v>158466.00000000003</v>
      </c>
      <c r="F47" s="52">
        <f t="shared" ref="F47" si="7">+E47*1.225</f>
        <v>194120.85000000006</v>
      </c>
      <c r="G47" s="52">
        <f t="shared" ref="G47" si="8">+F47*1.225</f>
        <v>237798.0412500001</v>
      </c>
    </row>
    <row r="48" spans="1:12">
      <c r="A48" s="80"/>
      <c r="B48" s="81" t="s">
        <v>14</v>
      </c>
      <c r="C48" s="94">
        <f>SUM(C44:C47)</f>
        <v>1214400</v>
      </c>
      <c r="D48" s="94">
        <f>SUM(D44:D47)</f>
        <v>1487640</v>
      </c>
      <c r="E48" s="94">
        <f>SUM(E44:E47)</f>
        <v>1822359</v>
      </c>
      <c r="F48" s="94">
        <f>SUM(F44:F47)</f>
        <v>2232389.7750000004</v>
      </c>
      <c r="G48" s="94">
        <f>SUM(G44:G47)</f>
        <v>2734677.4743750012</v>
      </c>
      <c r="H48" s="2"/>
    </row>
    <row r="49" spans="1:9">
      <c r="A49" s="80"/>
      <c r="B49" s="137" t="s">
        <v>164</v>
      </c>
      <c r="C49" s="138">
        <f>C48/C11</f>
        <v>115</v>
      </c>
      <c r="D49" s="138">
        <f>D48/D11</f>
        <v>128.06818181818178</v>
      </c>
      <c r="E49" s="138">
        <f>E48/E11</f>
        <v>142.62138429752065</v>
      </c>
      <c r="F49" s="138">
        <f>F48/F11</f>
        <v>151.92277892561984</v>
      </c>
      <c r="G49" s="138">
        <f>G48/G11</f>
        <v>161.83078624685598</v>
      </c>
    </row>
    <row r="50" spans="1:9">
      <c r="A50" s="80"/>
      <c r="B50" s="80"/>
      <c r="C50" s="136"/>
      <c r="D50" s="136"/>
      <c r="E50" s="136"/>
      <c r="F50" s="136"/>
      <c r="G50" s="136"/>
    </row>
    <row r="51" spans="1:9">
      <c r="A51" s="80"/>
      <c r="B51" s="175" t="s">
        <v>139</v>
      </c>
      <c r="C51" s="177" t="s">
        <v>1</v>
      </c>
      <c r="D51" s="177"/>
      <c r="E51" s="177"/>
      <c r="F51" s="177"/>
      <c r="G51" s="178"/>
    </row>
    <row r="52" spans="1:9">
      <c r="A52" s="80"/>
      <c r="B52" s="176"/>
      <c r="C52" s="46">
        <v>2012</v>
      </c>
      <c r="D52" s="47">
        <v>2013</v>
      </c>
      <c r="E52" s="48">
        <v>2014</v>
      </c>
      <c r="F52" s="47">
        <v>2015</v>
      </c>
      <c r="G52" s="49">
        <v>2016</v>
      </c>
    </row>
    <row r="53" spans="1:9" ht="14.25">
      <c r="A53" s="80"/>
      <c r="B53" s="84" t="s">
        <v>140</v>
      </c>
      <c r="C53" s="86">
        <f>3000*12</f>
        <v>36000</v>
      </c>
      <c r="D53" s="85">
        <f>+C53*1.15</f>
        <v>41400</v>
      </c>
      <c r="E53" s="85">
        <f>+D53*1.15</f>
        <v>47609.999999999993</v>
      </c>
      <c r="F53" s="85">
        <f>+E53*1.15</f>
        <v>54751.499999999985</v>
      </c>
      <c r="G53" s="85">
        <f>+F53*1.15</f>
        <v>62964.224999999977</v>
      </c>
    </row>
    <row r="54" spans="1:9" ht="14.25">
      <c r="A54" s="80"/>
      <c r="B54" s="84" t="s">
        <v>141</v>
      </c>
      <c r="C54" s="86">
        <v>4750</v>
      </c>
      <c r="D54" s="85">
        <f>+C54*1.15</f>
        <v>5462.5</v>
      </c>
      <c r="E54" s="85">
        <f t="shared" ref="E54:G54" si="9">+D54*1.15</f>
        <v>6281.8749999999991</v>
      </c>
      <c r="F54" s="85">
        <f t="shared" si="9"/>
        <v>7224.1562499999982</v>
      </c>
      <c r="G54" s="85">
        <f t="shared" si="9"/>
        <v>8307.7796874999967</v>
      </c>
    </row>
    <row r="55" spans="1:9">
      <c r="A55" s="80"/>
      <c r="B55" s="84" t="s">
        <v>22</v>
      </c>
      <c r="C55" s="86">
        <f>+C71*0.02</f>
        <v>813.6</v>
      </c>
      <c r="D55" s="86">
        <f>+C55*1.2</f>
        <v>976.31999999999994</v>
      </c>
      <c r="E55" s="86">
        <f t="shared" ref="E55:G55" si="10">+D55*1.2</f>
        <v>1171.5839999999998</v>
      </c>
      <c r="F55" s="86">
        <f t="shared" si="10"/>
        <v>1405.9007999999997</v>
      </c>
      <c r="G55" s="85">
        <f t="shared" si="10"/>
        <v>1687.0809599999995</v>
      </c>
    </row>
    <row r="56" spans="1:9">
      <c r="A56" s="80"/>
      <c r="B56" s="84" t="s">
        <v>65</v>
      </c>
      <c r="C56" s="86">
        <v>5200</v>
      </c>
      <c r="D56" s="86">
        <f>+C56*1.2</f>
        <v>6240</v>
      </c>
      <c r="E56" s="86">
        <f t="shared" ref="E56:G57" si="11">+D56*1.2</f>
        <v>7488</v>
      </c>
      <c r="F56" s="86">
        <f t="shared" si="11"/>
        <v>8985.6</v>
      </c>
      <c r="G56" s="85">
        <f t="shared" si="11"/>
        <v>10782.72</v>
      </c>
    </row>
    <row r="57" spans="1:9">
      <c r="A57" s="80"/>
      <c r="B57" s="84" t="s">
        <v>66</v>
      </c>
      <c r="C57" s="86">
        <v>6000</v>
      </c>
      <c r="D57" s="86">
        <f>+C57*1.2</f>
        <v>7200</v>
      </c>
      <c r="E57" s="86">
        <f t="shared" si="11"/>
        <v>8640</v>
      </c>
      <c r="F57" s="86">
        <f t="shared" si="11"/>
        <v>10368</v>
      </c>
      <c r="G57" s="85">
        <f t="shared" si="11"/>
        <v>12441.6</v>
      </c>
      <c r="H57" s="2"/>
    </row>
    <row r="58" spans="1:9" ht="12.75" customHeight="1">
      <c r="A58" s="80"/>
      <c r="B58" s="84" t="s">
        <v>142</v>
      </c>
      <c r="C58" s="86">
        <f>+F166</f>
        <v>2100</v>
      </c>
      <c r="D58" s="86">
        <f>+F167</f>
        <v>2100</v>
      </c>
      <c r="E58" s="86">
        <f>+F168</f>
        <v>2100</v>
      </c>
      <c r="F58" s="86">
        <f>+F169</f>
        <v>2100</v>
      </c>
      <c r="G58" s="85">
        <f>+F170</f>
        <v>2100</v>
      </c>
      <c r="H58" s="2"/>
    </row>
    <row r="59" spans="1:9">
      <c r="A59" s="80"/>
      <c r="B59" s="81" t="s">
        <v>14</v>
      </c>
      <c r="C59" s="82">
        <f>SUM(C53:C58)</f>
        <v>54863.6</v>
      </c>
      <c r="D59" s="82">
        <f>SUM(D53:D58)</f>
        <v>63378.82</v>
      </c>
      <c r="E59" s="82">
        <f>SUM(E53:E58)</f>
        <v>73291.459000000003</v>
      </c>
      <c r="F59" s="82">
        <f>SUM(F53:F58)</f>
        <v>84835.157049999994</v>
      </c>
      <c r="G59" s="83">
        <f>SUM(G53:G58)</f>
        <v>98283.405647499982</v>
      </c>
      <c r="I59" s="87"/>
    </row>
    <row r="60" spans="1:9">
      <c r="A60" s="80"/>
      <c r="B60" s="88"/>
      <c r="C60" s="89"/>
      <c r="D60" s="89"/>
      <c r="E60" s="89"/>
      <c r="F60" s="89"/>
      <c r="G60" s="89"/>
    </row>
    <row r="61" spans="1:9" ht="14.25">
      <c r="B61" s="3" t="s">
        <v>143</v>
      </c>
      <c r="C61" s="89"/>
      <c r="D61" s="89"/>
      <c r="E61" s="89"/>
      <c r="F61" s="89"/>
      <c r="G61" s="89"/>
    </row>
    <row r="62" spans="1:9" ht="14.25">
      <c r="B62" s="4" t="s">
        <v>111</v>
      </c>
      <c r="C62" s="89"/>
      <c r="D62" s="89"/>
      <c r="E62" s="89"/>
      <c r="F62" s="89"/>
      <c r="G62" s="89"/>
    </row>
    <row r="63" spans="1:9" ht="14.25">
      <c r="B63" s="4" t="s">
        <v>144</v>
      </c>
      <c r="C63" s="80"/>
      <c r="D63" s="79"/>
      <c r="E63" s="80"/>
      <c r="F63" s="80"/>
      <c r="G63" s="80"/>
    </row>
    <row r="64" spans="1:9" ht="14.25">
      <c r="B64" s="4" t="s">
        <v>145</v>
      </c>
      <c r="C64" s="80"/>
      <c r="D64" s="79"/>
      <c r="E64" s="80"/>
      <c r="F64" s="80"/>
      <c r="G64" s="80"/>
    </row>
    <row r="65" spans="1:9" ht="14.25">
      <c r="B65" s="4"/>
      <c r="C65" s="80"/>
      <c r="D65" s="79"/>
      <c r="E65" s="80"/>
      <c r="F65" s="80"/>
      <c r="G65" s="80"/>
    </row>
    <row r="66" spans="1:9" ht="14.25">
      <c r="B66" s="4"/>
      <c r="C66" s="80"/>
      <c r="D66" s="79"/>
      <c r="E66" s="10" t="s">
        <v>117</v>
      </c>
      <c r="F66" s="10">
        <f>(3000/25*14)-(3000/30*14)</f>
        <v>280</v>
      </c>
      <c r="G66" s="80"/>
    </row>
    <row r="67" spans="1:9" ht="14.25">
      <c r="B67" s="4"/>
      <c r="C67" s="80"/>
      <c r="D67" s="79"/>
      <c r="E67" s="10" t="s">
        <v>118</v>
      </c>
      <c r="F67" s="10">
        <f>(3000/30*14)</f>
        <v>1400</v>
      </c>
      <c r="G67" s="80"/>
    </row>
    <row r="68" spans="1:9" ht="16.5" customHeight="1">
      <c r="B68" s="88"/>
      <c r="C68" s="89"/>
      <c r="D68" s="89"/>
      <c r="E68" s="89"/>
      <c r="F68" s="89"/>
      <c r="G68" s="89"/>
    </row>
    <row r="69" spans="1:9">
      <c r="A69" s="12"/>
      <c r="B69" s="175" t="s">
        <v>120</v>
      </c>
      <c r="C69" s="167" t="s">
        <v>1</v>
      </c>
      <c r="D69" s="168"/>
      <c r="E69" s="168"/>
      <c r="F69" s="168"/>
      <c r="G69" s="169"/>
    </row>
    <row r="70" spans="1:9">
      <c r="B70" s="176"/>
      <c r="C70" s="46">
        <v>2012</v>
      </c>
      <c r="D70" s="47">
        <v>2013</v>
      </c>
      <c r="E70" s="48">
        <v>2014</v>
      </c>
      <c r="F70" s="47">
        <v>2015</v>
      </c>
      <c r="G70" s="49">
        <v>2016</v>
      </c>
      <c r="I70" s="90"/>
    </row>
    <row r="71" spans="1:9" ht="14.25">
      <c r="A71" s="12"/>
      <c r="B71" s="1" t="s">
        <v>146</v>
      </c>
      <c r="C71" s="61">
        <f>(3000*13)+F66+F67</f>
        <v>40680</v>
      </c>
      <c r="D71" s="17">
        <f>+C71*1.22</f>
        <v>49629.599999999999</v>
      </c>
      <c r="E71" s="17">
        <f t="shared" ref="E71:G71" si="12">+D71*1.22</f>
        <v>60548.111999999994</v>
      </c>
      <c r="F71" s="17">
        <f t="shared" si="12"/>
        <v>73868.696639999995</v>
      </c>
      <c r="G71" s="17">
        <f t="shared" si="12"/>
        <v>90119.809900799984</v>
      </c>
      <c r="H71" s="64"/>
      <c r="I71" s="2"/>
    </row>
    <row r="72" spans="1:9">
      <c r="A72" s="12"/>
      <c r="B72" s="1" t="s">
        <v>10</v>
      </c>
      <c r="C72" s="62">
        <f>+C71*0.21</f>
        <v>8542.7999999999993</v>
      </c>
      <c r="D72" s="62">
        <f>+D71*0.21</f>
        <v>10422.215999999999</v>
      </c>
      <c r="E72" s="62">
        <f>+E71*0.21</f>
        <v>12715.103519999999</v>
      </c>
      <c r="F72" s="62">
        <f>+F71*0.21</f>
        <v>15512.426294399998</v>
      </c>
      <c r="G72" s="17">
        <f>+G71*0.21</f>
        <v>18925.160079167996</v>
      </c>
      <c r="H72" s="61"/>
      <c r="I72" s="2"/>
    </row>
    <row r="73" spans="1:9">
      <c r="B73" s="57" t="s">
        <v>13</v>
      </c>
      <c r="C73" s="82">
        <f>SUM(C71:C72)</f>
        <v>49222.8</v>
      </c>
      <c r="D73" s="82">
        <f>SUM(D71:D72)</f>
        <v>60051.815999999999</v>
      </c>
      <c r="E73" s="82">
        <f>SUM(E71:E72)</f>
        <v>73263.215519999998</v>
      </c>
      <c r="F73" s="82">
        <f>SUM(F71:F72)</f>
        <v>89381.122934399988</v>
      </c>
      <c r="G73" s="82">
        <f>SUM(G71:G72)</f>
        <v>109044.96997996798</v>
      </c>
      <c r="H73" s="50"/>
    </row>
    <row r="75" spans="1:9" ht="14.25">
      <c r="B75" s="4" t="s">
        <v>147</v>
      </c>
    </row>
    <row r="76" spans="1:9">
      <c r="B76" s="1" t="s">
        <v>52</v>
      </c>
    </row>
    <row r="78" spans="1:9">
      <c r="B78" s="93" t="s">
        <v>16</v>
      </c>
      <c r="C78" s="94">
        <f>+C48+C59+C73</f>
        <v>1318486.4000000001</v>
      </c>
      <c r="D78" s="94">
        <f>+D48+D59+D73</f>
        <v>1611070.6360000002</v>
      </c>
      <c r="E78" s="94">
        <f>+E48+E59+E73</f>
        <v>1968913.6745200001</v>
      </c>
      <c r="F78" s="94">
        <f>+F48+F59+F73</f>
        <v>2406606.0549844005</v>
      </c>
      <c r="G78" s="94">
        <f>+G48+G59+G73</f>
        <v>2942005.850002469</v>
      </c>
    </row>
    <row r="79" spans="1:9">
      <c r="B79" s="95"/>
      <c r="C79" s="96"/>
      <c r="D79" s="96"/>
      <c r="E79" s="96"/>
      <c r="F79" s="96"/>
      <c r="G79" s="96"/>
    </row>
    <row r="80" spans="1:9">
      <c r="B80" s="6" t="s">
        <v>58</v>
      </c>
      <c r="C80" s="96"/>
      <c r="F80" s="96"/>
      <c r="G80" s="96"/>
    </row>
    <row r="81" spans="2:7">
      <c r="B81" s="6"/>
      <c r="C81" s="96"/>
      <c r="D81" s="68" t="s">
        <v>114</v>
      </c>
      <c r="E81" s="97">
        <v>0.65</v>
      </c>
      <c r="F81" s="96"/>
      <c r="G81" s="96"/>
    </row>
    <row r="82" spans="2:7">
      <c r="B82" s="6"/>
      <c r="C82" s="96"/>
      <c r="D82" s="68" t="s">
        <v>113</v>
      </c>
      <c r="E82" s="97">
        <v>0.35</v>
      </c>
      <c r="F82" s="96"/>
      <c r="G82" s="96"/>
    </row>
    <row r="84" spans="2:7">
      <c r="B84" s="173" t="s">
        <v>148</v>
      </c>
      <c r="C84" s="167" t="s">
        <v>1</v>
      </c>
      <c r="D84" s="168"/>
      <c r="E84" s="168"/>
      <c r="F84" s="168"/>
      <c r="G84" s="169"/>
    </row>
    <row r="85" spans="2:7">
      <c r="B85" s="174"/>
      <c r="C85" s="46">
        <v>2012</v>
      </c>
      <c r="D85" s="47">
        <v>2013</v>
      </c>
      <c r="E85" s="48">
        <v>2014</v>
      </c>
      <c r="F85" s="47">
        <v>2015</v>
      </c>
      <c r="G85" s="47">
        <v>2016</v>
      </c>
    </row>
    <row r="86" spans="2:7">
      <c r="B86" s="50" t="s">
        <v>54</v>
      </c>
      <c r="C86" s="62">
        <f>+C48*$E$81</f>
        <v>789360</v>
      </c>
      <c r="D86" s="62">
        <f t="shared" ref="D86:G86" si="13">+D48*$E$81</f>
        <v>966966</v>
      </c>
      <c r="E86" s="62">
        <f t="shared" si="13"/>
        <v>1184533.3500000001</v>
      </c>
      <c r="F86" s="62">
        <f t="shared" si="13"/>
        <v>1451053.3537500002</v>
      </c>
      <c r="G86" s="17">
        <f t="shared" si="13"/>
        <v>1777540.3583437507</v>
      </c>
    </row>
    <row r="87" spans="2:7">
      <c r="B87" s="50" t="s">
        <v>55</v>
      </c>
      <c r="C87" s="62">
        <f>+C48*$E$82</f>
        <v>425040</v>
      </c>
      <c r="D87" s="62">
        <f t="shared" ref="D87:G87" si="14">+D48*$E$82</f>
        <v>520673.99999999994</v>
      </c>
      <c r="E87" s="62">
        <f t="shared" si="14"/>
        <v>637825.64999999991</v>
      </c>
      <c r="F87" s="62">
        <f t="shared" si="14"/>
        <v>781336.42125000013</v>
      </c>
      <c r="G87" s="17">
        <f t="shared" si="14"/>
        <v>957137.11603125033</v>
      </c>
    </row>
    <row r="88" spans="2:7">
      <c r="B88" s="98" t="s">
        <v>17</v>
      </c>
      <c r="C88" s="62">
        <f>+C86+C87</f>
        <v>1214400</v>
      </c>
      <c r="D88" s="62">
        <f>+D86+D87</f>
        <v>1487640</v>
      </c>
      <c r="E88" s="62">
        <f>+E86+E87</f>
        <v>1822359</v>
      </c>
      <c r="F88" s="62">
        <f>+F86+F87</f>
        <v>2232389.7750000004</v>
      </c>
      <c r="G88" s="17">
        <f>+G86+G87</f>
        <v>2734677.4743750012</v>
      </c>
    </row>
    <row r="89" spans="2:7">
      <c r="B89" s="98" t="s">
        <v>56</v>
      </c>
      <c r="C89" s="62">
        <f>+(C87/12)*11</f>
        <v>389620</v>
      </c>
      <c r="D89" s="62">
        <f>+(D87/12)*11</f>
        <v>477284.49999999994</v>
      </c>
      <c r="E89" s="62">
        <f>+(E87/12)*11</f>
        <v>584673.51249999984</v>
      </c>
      <c r="F89" s="62">
        <f>+(F87/12)*11</f>
        <v>716225.05281250004</v>
      </c>
      <c r="G89" s="17">
        <f>+(G87/12)*11</f>
        <v>877375.68969531287</v>
      </c>
    </row>
    <row r="90" spans="2:7">
      <c r="B90" s="99" t="s">
        <v>57</v>
      </c>
      <c r="C90" s="62"/>
      <c r="D90" s="17">
        <f>+C91</f>
        <v>35420</v>
      </c>
      <c r="E90" s="17">
        <f>+D91</f>
        <v>43389.499999999993</v>
      </c>
      <c r="F90" s="17">
        <f>+E91</f>
        <v>53152.13749999999</v>
      </c>
      <c r="G90" s="17">
        <f>+F91</f>
        <v>65111.368437500008</v>
      </c>
    </row>
    <row r="91" spans="2:7">
      <c r="B91" s="57" t="s">
        <v>18</v>
      </c>
      <c r="C91" s="82">
        <f>+C87/12</f>
        <v>35420</v>
      </c>
      <c r="D91" s="82">
        <f>+D87/12</f>
        <v>43389.499999999993</v>
      </c>
      <c r="E91" s="82">
        <f>+E87/12</f>
        <v>53152.13749999999</v>
      </c>
      <c r="F91" s="82">
        <f>+F87/12</f>
        <v>65111.368437500008</v>
      </c>
      <c r="G91" s="83">
        <f>+G87/12</f>
        <v>79761.426335937533</v>
      </c>
    </row>
    <row r="93" spans="2:7" ht="14.25">
      <c r="B93" s="3" t="s">
        <v>149</v>
      </c>
      <c r="C93" s="21"/>
    </row>
    <row r="95" spans="2:7">
      <c r="B95" s="6" t="s">
        <v>12</v>
      </c>
    </row>
    <row r="96" spans="2:7">
      <c r="B96" s="6"/>
      <c r="E96" s="10" t="s">
        <v>117</v>
      </c>
      <c r="F96" s="10">
        <f>(3500/25*14)-(3500/30*14)</f>
        <v>326.66666666666652</v>
      </c>
    </row>
    <row r="97" spans="1:8">
      <c r="B97" s="6"/>
      <c r="E97" s="10" t="s">
        <v>118</v>
      </c>
      <c r="F97" s="10">
        <f>(3500/30*14)</f>
        <v>1633.3333333333335</v>
      </c>
    </row>
    <row r="99" spans="1:8">
      <c r="B99" s="175" t="s">
        <v>68</v>
      </c>
      <c r="C99" s="167" t="s">
        <v>1</v>
      </c>
      <c r="D99" s="168"/>
      <c r="E99" s="168"/>
      <c r="F99" s="168"/>
      <c r="G99" s="169"/>
    </row>
    <row r="100" spans="1:8">
      <c r="B100" s="176"/>
      <c r="C100" s="46">
        <v>2012</v>
      </c>
      <c r="D100" s="47">
        <v>2013</v>
      </c>
      <c r="E100" s="48">
        <v>2014</v>
      </c>
      <c r="F100" s="47">
        <v>2015</v>
      </c>
      <c r="G100" s="49">
        <v>2016</v>
      </c>
    </row>
    <row r="101" spans="1:8" ht="14.25">
      <c r="A101" s="12"/>
      <c r="B101" s="1" t="s">
        <v>150</v>
      </c>
      <c r="C101" s="61">
        <f>(3500*13)+F96+F97</f>
        <v>47460</v>
      </c>
      <c r="D101" s="62">
        <f>+C101*1.2</f>
        <v>56952</v>
      </c>
      <c r="E101" s="62">
        <f t="shared" ref="E101:G101" si="15">+D101*1.2</f>
        <v>68342.399999999994</v>
      </c>
      <c r="F101" s="62">
        <f t="shared" si="15"/>
        <v>82010.87999999999</v>
      </c>
      <c r="G101" s="62">
        <f t="shared" si="15"/>
        <v>98413.055999999982</v>
      </c>
      <c r="H101" s="50"/>
    </row>
    <row r="102" spans="1:8">
      <c r="A102" s="12"/>
      <c r="B102" s="1" t="s">
        <v>10</v>
      </c>
      <c r="C102" s="61">
        <f>+C101*0.21</f>
        <v>9966.6</v>
      </c>
      <c r="D102" s="62">
        <f>+D101*0.21</f>
        <v>11959.92</v>
      </c>
      <c r="E102" s="62">
        <f>+E101*0.21</f>
        <v>14351.903999999999</v>
      </c>
      <c r="F102" s="62">
        <f>+F101*0.21</f>
        <v>17222.284799999998</v>
      </c>
      <c r="G102" s="17">
        <f>+G101*0.21</f>
        <v>20666.741759999997</v>
      </c>
    </row>
    <row r="103" spans="1:8">
      <c r="A103" s="12"/>
      <c r="B103" s="1" t="s">
        <v>19</v>
      </c>
      <c r="C103" s="61">
        <v>3250</v>
      </c>
      <c r="D103" s="62">
        <f t="shared" ref="D103:G104" si="16">+C103*1.1</f>
        <v>3575.0000000000005</v>
      </c>
      <c r="E103" s="62">
        <f t="shared" si="16"/>
        <v>3932.5000000000009</v>
      </c>
      <c r="F103" s="62">
        <f t="shared" si="16"/>
        <v>4325.7500000000009</v>
      </c>
      <c r="G103" s="17">
        <f t="shared" si="16"/>
        <v>4758.3250000000016</v>
      </c>
    </row>
    <row r="104" spans="1:8">
      <c r="A104" s="12"/>
      <c r="B104" s="1" t="s">
        <v>21</v>
      </c>
      <c r="C104" s="61">
        <v>2000</v>
      </c>
      <c r="D104" s="62">
        <f t="shared" si="16"/>
        <v>2200</v>
      </c>
      <c r="E104" s="62">
        <f t="shared" si="16"/>
        <v>2420</v>
      </c>
      <c r="F104" s="62">
        <f t="shared" si="16"/>
        <v>2662</v>
      </c>
      <c r="G104" s="17">
        <f t="shared" si="16"/>
        <v>2928.2000000000003</v>
      </c>
    </row>
    <row r="105" spans="1:8" ht="14.25">
      <c r="A105" s="12"/>
      <c r="B105" s="101" t="s">
        <v>151</v>
      </c>
      <c r="C105" s="62">
        <f>+F157</f>
        <v>1000</v>
      </c>
      <c r="D105" s="62">
        <f>+F158</f>
        <v>1000</v>
      </c>
      <c r="E105" s="62">
        <f>+F159</f>
        <v>1000</v>
      </c>
      <c r="F105" s="62">
        <f>+F160</f>
        <v>1000</v>
      </c>
      <c r="G105" s="62">
        <f>+F161</f>
        <v>1000</v>
      </c>
      <c r="H105" s="50"/>
    </row>
    <row r="106" spans="1:8" ht="14.25">
      <c r="A106" s="12"/>
      <c r="B106" s="101" t="s">
        <v>152</v>
      </c>
      <c r="C106" s="62">
        <f>+F176+F181</f>
        <v>5200</v>
      </c>
      <c r="D106" s="62">
        <f>+F177+F182</f>
        <v>5200</v>
      </c>
      <c r="E106" s="62">
        <f>+F178+F183</f>
        <v>5200</v>
      </c>
      <c r="F106" s="62">
        <f>+F179+F184</f>
        <v>5200</v>
      </c>
      <c r="G106" s="17">
        <f>+F180+F185</f>
        <v>5200</v>
      </c>
    </row>
    <row r="107" spans="1:8">
      <c r="B107" s="57" t="s">
        <v>13</v>
      </c>
      <c r="C107" s="82">
        <f>SUM(C101:C106)</f>
        <v>68876.600000000006</v>
      </c>
      <c r="D107" s="82">
        <f>SUM(D101:D106)</f>
        <v>80886.92</v>
      </c>
      <c r="E107" s="82">
        <f>SUM(E101:E106)</f>
        <v>95246.803999999989</v>
      </c>
      <c r="F107" s="82">
        <f>SUM(F101:F106)</f>
        <v>112420.91479999998</v>
      </c>
      <c r="G107" s="83">
        <f>SUM(G101:G106)</f>
        <v>132966.32275999998</v>
      </c>
    </row>
    <row r="108" spans="1:8">
      <c r="B108" s="95"/>
      <c r="C108" s="2"/>
      <c r="D108" s="2"/>
      <c r="E108" s="2"/>
      <c r="F108" s="102"/>
      <c r="G108" s="102"/>
    </row>
    <row r="109" spans="1:8" ht="14.25">
      <c r="B109" s="3" t="s">
        <v>153</v>
      </c>
      <c r="C109" s="2"/>
      <c r="D109" s="2"/>
      <c r="E109" s="2"/>
      <c r="F109" s="102"/>
      <c r="G109" s="102"/>
    </row>
    <row r="110" spans="1:8" ht="14.25">
      <c r="B110" s="3" t="s">
        <v>106</v>
      </c>
      <c r="C110" s="2"/>
      <c r="D110" s="2"/>
      <c r="E110" s="2"/>
      <c r="F110" s="102"/>
      <c r="G110" s="102"/>
    </row>
    <row r="111" spans="1:8" ht="14.25">
      <c r="B111" s="3" t="s">
        <v>107</v>
      </c>
      <c r="C111" s="2"/>
      <c r="D111" s="2"/>
      <c r="E111" s="2"/>
      <c r="F111" s="102"/>
      <c r="G111" s="102"/>
    </row>
    <row r="113" spans="1:10">
      <c r="B113" s="6" t="s">
        <v>98</v>
      </c>
    </row>
    <row r="114" spans="1:10" ht="12.75" customHeight="1">
      <c r="A114" s="6"/>
    </row>
    <row r="115" spans="1:10">
      <c r="B115" s="56"/>
    </row>
    <row r="116" spans="1:10">
      <c r="A116" s="12"/>
      <c r="B116" s="175" t="s">
        <v>119</v>
      </c>
      <c r="C116" s="167" t="s">
        <v>1</v>
      </c>
      <c r="D116" s="168"/>
      <c r="E116" s="168"/>
      <c r="F116" s="168"/>
      <c r="G116" s="169"/>
    </row>
    <row r="117" spans="1:10">
      <c r="A117" s="12"/>
      <c r="B117" s="176"/>
      <c r="C117" s="46">
        <v>2012</v>
      </c>
      <c r="D117" s="47">
        <v>2013</v>
      </c>
      <c r="E117" s="47">
        <v>2014</v>
      </c>
      <c r="F117" s="49">
        <v>2015</v>
      </c>
      <c r="G117" s="49">
        <v>2016</v>
      </c>
    </row>
    <row r="118" spans="1:10" ht="15" customHeight="1">
      <c r="A118" s="12"/>
      <c r="B118" s="103" t="s">
        <v>97</v>
      </c>
      <c r="C118" s="104">
        <f>+C135</f>
        <v>87360.9</v>
      </c>
      <c r="D118" s="104">
        <f>+D135</f>
        <v>113319.52500000002</v>
      </c>
      <c r="E118" s="104">
        <f>+E135</f>
        <v>147198.95025000005</v>
      </c>
      <c r="F118" s="104">
        <f>+F135</f>
        <v>196174.42292250006</v>
      </c>
      <c r="G118" s="104">
        <f>+G135</f>
        <v>262370.59548933757</v>
      </c>
    </row>
    <row r="119" spans="1:10">
      <c r="A119" s="12"/>
      <c r="B119" s="19" t="s">
        <v>20</v>
      </c>
      <c r="C119" s="18">
        <f>+H148</f>
        <v>80400</v>
      </c>
      <c r="D119" s="18">
        <f>+I148</f>
        <v>94872</v>
      </c>
      <c r="E119" s="18">
        <f>+J148</f>
        <v>111948.95999999999</v>
      </c>
      <c r="F119" s="18">
        <f>+K148</f>
        <v>132099.77279999998</v>
      </c>
      <c r="G119" s="17">
        <f>+L148</f>
        <v>155877.73190399996</v>
      </c>
    </row>
    <row r="120" spans="1:10" ht="14.25">
      <c r="A120" s="12"/>
      <c r="B120" s="19" t="s">
        <v>154</v>
      </c>
      <c r="C120" s="18">
        <f>+C13*0.3</f>
        <v>633600</v>
      </c>
      <c r="D120" s="18">
        <f>+D13*0.3</f>
        <v>853776.00000000023</v>
      </c>
      <c r="E120" s="18">
        <f>+E13*0.3</f>
        <v>1150463.1600000004</v>
      </c>
      <c r="F120" s="18">
        <f>+F13*0.3</f>
        <v>1620714.9766500005</v>
      </c>
      <c r="G120" s="18">
        <f>+G13*0.3</f>
        <v>2283182.2233556882</v>
      </c>
    </row>
    <row r="121" spans="1:10">
      <c r="B121" s="57"/>
      <c r="C121" s="105"/>
      <c r="D121" s="91"/>
      <c r="E121" s="91"/>
      <c r="F121" s="92"/>
      <c r="G121" s="92"/>
    </row>
    <row r="122" spans="1:10">
      <c r="B122" s="57" t="s">
        <v>13</v>
      </c>
      <c r="C122" s="82">
        <f>SUM(C118:C121)</f>
        <v>801360.9</v>
      </c>
      <c r="D122" s="82">
        <f>SUM(D118:D121)</f>
        <v>1061967.5250000004</v>
      </c>
      <c r="E122" s="83">
        <f>SUM(E118:E121)</f>
        <v>1409611.0702500003</v>
      </c>
      <c r="F122" s="106">
        <f>SUM(F118:F121)</f>
        <v>1948989.1723725006</v>
      </c>
      <c r="G122" s="83">
        <f>SUM(G118:G121)</f>
        <v>2701430.5507490258</v>
      </c>
    </row>
    <row r="123" spans="1:10">
      <c r="B123" s="95"/>
      <c r="C123" s="2"/>
      <c r="D123" s="2"/>
      <c r="E123" s="2"/>
      <c r="F123" s="102"/>
      <c r="G123" s="102"/>
    </row>
    <row r="124" spans="1:10" ht="13.5" customHeight="1">
      <c r="B124" s="3" t="s">
        <v>155</v>
      </c>
    </row>
    <row r="125" spans="1:10" ht="13.5" customHeight="1">
      <c r="B125" s="3"/>
      <c r="E125" s="21"/>
    </row>
    <row r="126" spans="1:10" ht="13.5" customHeight="1">
      <c r="B126" s="6" t="s">
        <v>96</v>
      </c>
      <c r="H126" s="7"/>
      <c r="I126" s="7"/>
      <c r="J126" s="7"/>
    </row>
    <row r="127" spans="1:10" ht="13.5" customHeight="1">
      <c r="B127" s="6"/>
      <c r="E127" s="10" t="s">
        <v>117</v>
      </c>
      <c r="F127" s="10">
        <f>(2750/25*14)-(2750/30*14)</f>
        <v>256.66666666666652</v>
      </c>
      <c r="H127" s="7"/>
      <c r="I127" s="7"/>
      <c r="J127" s="7"/>
    </row>
    <row r="128" spans="1:10" ht="13.5" customHeight="1">
      <c r="B128" s="6"/>
      <c r="E128" s="10" t="s">
        <v>118</v>
      </c>
      <c r="F128" s="10">
        <f>(2750/30*14)</f>
        <v>1283.3333333333335</v>
      </c>
      <c r="H128" s="7"/>
      <c r="I128" s="7"/>
      <c r="J128" s="7"/>
    </row>
    <row r="129" spans="1:12" ht="13.5" customHeight="1">
      <c r="A129" s="6"/>
      <c r="H129" s="7"/>
      <c r="I129" s="7"/>
      <c r="J129" s="7"/>
    </row>
    <row r="130" spans="1:12" ht="13.5" customHeight="1">
      <c r="A130" s="6"/>
      <c r="B130" s="175" t="s">
        <v>97</v>
      </c>
      <c r="C130" s="167" t="s">
        <v>1</v>
      </c>
      <c r="D130" s="168"/>
      <c r="E130" s="168"/>
      <c r="F130" s="168"/>
      <c r="G130" s="169"/>
      <c r="H130" s="7"/>
      <c r="I130" s="7"/>
      <c r="J130" s="7"/>
    </row>
    <row r="131" spans="1:12" ht="13.5" customHeight="1">
      <c r="A131" s="6"/>
      <c r="B131" s="176"/>
      <c r="C131" s="46">
        <v>2012</v>
      </c>
      <c r="D131" s="47">
        <v>2013</v>
      </c>
      <c r="E131" s="47">
        <v>2014</v>
      </c>
      <c r="F131" s="49">
        <v>2015</v>
      </c>
      <c r="G131" s="49">
        <v>2016</v>
      </c>
      <c r="H131" s="7"/>
      <c r="I131" s="7"/>
      <c r="J131" s="7"/>
    </row>
    <row r="132" spans="1:12" ht="17.25" customHeight="1">
      <c r="A132" s="107"/>
      <c r="B132" s="1" t="s">
        <v>156</v>
      </c>
      <c r="C132" s="61">
        <f>(2750*13)+F127+F128</f>
        <v>37290</v>
      </c>
      <c r="D132" s="17">
        <f>+C132*1.25</f>
        <v>46612.5</v>
      </c>
      <c r="E132" s="17">
        <f t="shared" ref="E132:G132" si="17">+D132*1.25</f>
        <v>58265.625</v>
      </c>
      <c r="F132" s="17">
        <f t="shared" si="17"/>
        <v>72832.03125</v>
      </c>
      <c r="G132" s="17">
        <f t="shared" si="17"/>
        <v>91040.0390625</v>
      </c>
      <c r="H132" s="7"/>
      <c r="I132" s="7"/>
      <c r="J132" s="7"/>
    </row>
    <row r="133" spans="1:12" ht="17.25" customHeight="1">
      <c r="A133" s="107"/>
      <c r="B133" s="1" t="s">
        <v>10</v>
      </c>
      <c r="C133" s="62">
        <f>+C132*0.21</f>
        <v>7830.9</v>
      </c>
      <c r="D133" s="62">
        <f>+D132*0.21</f>
        <v>9788.625</v>
      </c>
      <c r="E133" s="17">
        <f>+E132*0.21</f>
        <v>12235.78125</v>
      </c>
      <c r="F133" s="108">
        <f>+F132*0.21</f>
        <v>15294.7265625</v>
      </c>
      <c r="G133" s="17">
        <f>+G132*0.21</f>
        <v>19118.408203125</v>
      </c>
      <c r="H133" s="7"/>
      <c r="I133" s="7"/>
      <c r="J133" s="7"/>
    </row>
    <row r="134" spans="1:12" ht="18" customHeight="1">
      <c r="A134" s="6"/>
      <c r="B134" s="19" t="s">
        <v>157</v>
      </c>
      <c r="C134" s="18">
        <f>+C13*0.02</f>
        <v>42240</v>
      </c>
      <c r="D134" s="18">
        <f t="shared" ref="D134:G134" si="18">+D13*0.02</f>
        <v>56918.400000000023</v>
      </c>
      <c r="E134" s="18">
        <f t="shared" si="18"/>
        <v>76697.544000000038</v>
      </c>
      <c r="F134" s="18">
        <f t="shared" si="18"/>
        <v>108047.66511000005</v>
      </c>
      <c r="G134" s="18">
        <f t="shared" si="18"/>
        <v>152212.14822371255</v>
      </c>
      <c r="H134" s="7"/>
      <c r="I134" s="7"/>
      <c r="J134" s="7"/>
    </row>
    <row r="135" spans="1:12" ht="16.5" customHeight="1">
      <c r="A135" s="6"/>
      <c r="B135" s="57" t="s">
        <v>13</v>
      </c>
      <c r="C135" s="100">
        <f>SUM(C132:C134)</f>
        <v>87360.9</v>
      </c>
      <c r="D135" s="100">
        <f>SUM(D132:D134)</f>
        <v>113319.52500000002</v>
      </c>
      <c r="E135" s="100">
        <f>SUM(E132:E134)</f>
        <v>147198.95025000005</v>
      </c>
      <c r="F135" s="100">
        <f>SUM(F132:F134)</f>
        <v>196174.42292250006</v>
      </c>
      <c r="G135" s="30">
        <f>SUM(G132:G134)</f>
        <v>262370.59548933757</v>
      </c>
      <c r="H135" s="7"/>
      <c r="I135" s="7"/>
      <c r="J135" s="7"/>
    </row>
    <row r="136" spans="1:12" ht="13.5" customHeight="1">
      <c r="A136" s="6"/>
      <c r="B136" s="2"/>
      <c r="C136" s="108"/>
      <c r="D136" s="108"/>
      <c r="E136" s="108"/>
      <c r="F136" s="108"/>
      <c r="G136" s="108"/>
      <c r="H136" s="7"/>
      <c r="I136" s="7"/>
      <c r="J136" s="7"/>
    </row>
    <row r="137" spans="1:12" ht="15" customHeight="1">
      <c r="B137" s="3" t="s">
        <v>158</v>
      </c>
      <c r="C137" s="2"/>
      <c r="D137" s="2"/>
      <c r="E137" s="2"/>
      <c r="F137" s="102"/>
      <c r="G137" s="102"/>
      <c r="H137" s="7"/>
      <c r="I137" s="7"/>
      <c r="J137" s="7"/>
    </row>
    <row r="138" spans="1:12" ht="15.75" customHeight="1">
      <c r="B138" s="3" t="s">
        <v>159</v>
      </c>
      <c r="C138" s="2"/>
      <c r="D138" s="2"/>
      <c r="E138" s="2"/>
      <c r="F138" s="102"/>
      <c r="G138" s="102"/>
      <c r="H138" s="7"/>
      <c r="I138" s="7"/>
      <c r="J138" s="7"/>
    </row>
    <row r="139" spans="1:12">
      <c r="H139" s="7"/>
    </row>
    <row r="140" spans="1:12" ht="25.5">
      <c r="B140" s="109" t="s">
        <v>160</v>
      </c>
      <c r="C140" s="110" t="s">
        <v>69</v>
      </c>
      <c r="D140" s="110" t="s">
        <v>70</v>
      </c>
      <c r="E140" s="110" t="s">
        <v>71</v>
      </c>
      <c r="F140" s="111" t="s">
        <v>72</v>
      </c>
      <c r="G140" s="112" t="s">
        <v>73</v>
      </c>
      <c r="H140" s="112" t="s">
        <v>74</v>
      </c>
      <c r="I140" s="112" t="s">
        <v>75</v>
      </c>
      <c r="J140" s="112" t="s">
        <v>76</v>
      </c>
      <c r="K140" s="112" t="s">
        <v>77</v>
      </c>
      <c r="L140" s="112" t="s">
        <v>78</v>
      </c>
    </row>
    <row r="141" spans="1:12" ht="25.5">
      <c r="B141" s="113" t="s">
        <v>79</v>
      </c>
      <c r="C141" s="110" t="s">
        <v>80</v>
      </c>
      <c r="D141" s="110" t="s">
        <v>81</v>
      </c>
      <c r="E141" s="110" t="s">
        <v>82</v>
      </c>
      <c r="F141" s="179">
        <f>(G141+G142+G143)/G148</f>
        <v>0.68656716417910446</v>
      </c>
      <c r="G141" s="114">
        <v>3000</v>
      </c>
      <c r="H141" s="115">
        <f>+G141*12</f>
        <v>36000</v>
      </c>
      <c r="I141" s="115">
        <f>+H141*1.18</f>
        <v>42480</v>
      </c>
      <c r="J141" s="115">
        <f t="shared" ref="J141:L141" si="19">+I141*1.18</f>
        <v>50126.399999999994</v>
      </c>
      <c r="K141" s="115">
        <f t="shared" si="19"/>
        <v>59149.151999999987</v>
      </c>
      <c r="L141" s="115">
        <f t="shared" si="19"/>
        <v>69795.999359999987</v>
      </c>
    </row>
    <row r="142" spans="1:12">
      <c r="B142" s="182" t="s">
        <v>83</v>
      </c>
      <c r="C142" s="110" t="s">
        <v>85</v>
      </c>
      <c r="D142" s="110" t="s">
        <v>86</v>
      </c>
      <c r="E142" s="110" t="s">
        <v>84</v>
      </c>
      <c r="F142" s="180"/>
      <c r="G142" s="114">
        <v>800</v>
      </c>
      <c r="H142" s="115">
        <f t="shared" ref="H142:H147" si="20">+G142*12</f>
        <v>9600</v>
      </c>
      <c r="I142" s="115">
        <f t="shared" ref="I142:L148" si="21">+H142*1.18</f>
        <v>11328</v>
      </c>
      <c r="J142" s="115">
        <f t="shared" si="21"/>
        <v>13367.039999999999</v>
      </c>
      <c r="K142" s="115">
        <f t="shared" si="21"/>
        <v>15773.107199999999</v>
      </c>
      <c r="L142" s="115">
        <f t="shared" si="21"/>
        <v>18612.266495999997</v>
      </c>
    </row>
    <row r="143" spans="1:12">
      <c r="B143" s="183"/>
      <c r="C143" s="110" t="s">
        <v>87</v>
      </c>
      <c r="D143" s="110" t="s">
        <v>88</v>
      </c>
      <c r="E143" s="110" t="s">
        <v>84</v>
      </c>
      <c r="F143" s="181"/>
      <c r="G143" s="114">
        <v>800</v>
      </c>
      <c r="H143" s="115">
        <f t="shared" si="20"/>
        <v>9600</v>
      </c>
      <c r="I143" s="115">
        <f t="shared" si="21"/>
        <v>11328</v>
      </c>
      <c r="J143" s="115">
        <f t="shared" si="21"/>
        <v>13367.039999999999</v>
      </c>
      <c r="K143" s="115">
        <f t="shared" si="21"/>
        <v>15773.107199999999</v>
      </c>
      <c r="L143" s="115">
        <f t="shared" si="21"/>
        <v>18612.266495999997</v>
      </c>
    </row>
    <row r="144" spans="1:12" ht="25.5">
      <c r="B144" s="182" t="s">
        <v>89</v>
      </c>
      <c r="C144" s="110" t="s">
        <v>126</v>
      </c>
      <c r="D144" s="110" t="s">
        <v>127</v>
      </c>
      <c r="E144" s="110" t="s">
        <v>82</v>
      </c>
      <c r="F144" s="179">
        <f>(G144+G145+G146)/G148</f>
        <v>0.20895522388059701</v>
      </c>
      <c r="G144" s="114">
        <v>550</v>
      </c>
      <c r="H144" s="115">
        <f t="shared" si="20"/>
        <v>6600</v>
      </c>
      <c r="I144" s="115">
        <f t="shared" si="21"/>
        <v>7788</v>
      </c>
      <c r="J144" s="115">
        <f t="shared" si="21"/>
        <v>9189.84</v>
      </c>
      <c r="K144" s="115">
        <f t="shared" si="21"/>
        <v>10844.011199999999</v>
      </c>
      <c r="L144" s="115">
        <f t="shared" si="21"/>
        <v>12795.933215999998</v>
      </c>
    </row>
    <row r="145" spans="2:12" ht="25.5">
      <c r="B145" s="184"/>
      <c r="C145" s="110" t="s">
        <v>128</v>
      </c>
      <c r="D145" s="110" t="s">
        <v>129</v>
      </c>
      <c r="E145" s="110" t="s">
        <v>82</v>
      </c>
      <c r="F145" s="180"/>
      <c r="G145" s="114">
        <v>500</v>
      </c>
      <c r="H145" s="115">
        <f t="shared" si="20"/>
        <v>6000</v>
      </c>
      <c r="I145" s="115">
        <f t="shared" si="21"/>
        <v>7080</v>
      </c>
      <c r="J145" s="115">
        <f t="shared" si="21"/>
        <v>8354.4</v>
      </c>
      <c r="K145" s="115">
        <f t="shared" si="21"/>
        <v>9858.1919999999991</v>
      </c>
      <c r="L145" s="115">
        <f t="shared" si="21"/>
        <v>11632.666559999998</v>
      </c>
    </row>
    <row r="146" spans="2:12" ht="25.5">
      <c r="B146" s="184"/>
      <c r="C146" s="110" t="s">
        <v>90</v>
      </c>
      <c r="D146" s="110" t="s">
        <v>91</v>
      </c>
      <c r="E146" s="110" t="s">
        <v>82</v>
      </c>
      <c r="F146" s="181"/>
      <c r="G146" s="114">
        <v>350</v>
      </c>
      <c r="H146" s="115">
        <f t="shared" si="20"/>
        <v>4200</v>
      </c>
      <c r="I146" s="115">
        <f t="shared" si="21"/>
        <v>4956</v>
      </c>
      <c r="J146" s="115">
        <f t="shared" si="21"/>
        <v>5848.08</v>
      </c>
      <c r="K146" s="115">
        <f t="shared" si="21"/>
        <v>6900.7343999999994</v>
      </c>
      <c r="L146" s="115">
        <f t="shared" si="21"/>
        <v>8142.8665919999985</v>
      </c>
    </row>
    <row r="147" spans="2:12" ht="25.5">
      <c r="B147" s="113" t="s">
        <v>92</v>
      </c>
      <c r="C147" s="110" t="s">
        <v>93</v>
      </c>
      <c r="D147" s="110" t="s">
        <v>94</v>
      </c>
      <c r="E147" s="110" t="s">
        <v>95</v>
      </c>
      <c r="F147" s="116">
        <f>G147/G148</f>
        <v>0.1044776119402985</v>
      </c>
      <c r="G147" s="114">
        <v>700</v>
      </c>
      <c r="H147" s="115">
        <f t="shared" si="20"/>
        <v>8400</v>
      </c>
      <c r="I147" s="115">
        <f t="shared" si="21"/>
        <v>9912</v>
      </c>
      <c r="J147" s="115">
        <f t="shared" si="21"/>
        <v>11696.16</v>
      </c>
      <c r="K147" s="115">
        <f t="shared" si="21"/>
        <v>13801.468799999999</v>
      </c>
      <c r="L147" s="115">
        <f t="shared" si="21"/>
        <v>16285.733183999997</v>
      </c>
    </row>
    <row r="148" spans="2:12">
      <c r="B148" s="117"/>
      <c r="C148" s="118"/>
      <c r="D148" s="119"/>
      <c r="E148" s="120" t="s">
        <v>14</v>
      </c>
      <c r="F148" s="121">
        <f>SUM(F141:F147)</f>
        <v>0.99999999999999989</v>
      </c>
      <c r="G148" s="115">
        <f>SUM(G141:G147)</f>
        <v>6700</v>
      </c>
      <c r="H148" s="115">
        <f>SUM(H141:H147)</f>
        <v>80400</v>
      </c>
      <c r="I148" s="115">
        <f t="shared" si="21"/>
        <v>94872</v>
      </c>
      <c r="J148" s="115">
        <f t="shared" si="21"/>
        <v>111948.95999999999</v>
      </c>
      <c r="K148" s="115">
        <f t="shared" si="21"/>
        <v>132099.77279999998</v>
      </c>
      <c r="L148" s="115">
        <f t="shared" si="21"/>
        <v>155877.73190399996</v>
      </c>
    </row>
    <row r="149" spans="2:12">
      <c r="H149" s="7"/>
    </row>
    <row r="150" spans="2:12" ht="14.25">
      <c r="B150" s="3" t="s">
        <v>161</v>
      </c>
      <c r="H150" s="7"/>
    </row>
    <row r="151" spans="2:12">
      <c r="H151" s="7"/>
      <c r="I151" s="9"/>
      <c r="J151" s="9"/>
      <c r="K151" s="9"/>
      <c r="L151" s="9"/>
    </row>
    <row r="152" spans="2:12">
      <c r="B152" s="6" t="s">
        <v>60</v>
      </c>
      <c r="C152" s="7"/>
      <c r="D152" s="122"/>
      <c r="E152" s="7"/>
      <c r="F152" s="7"/>
      <c r="G152" s="7"/>
      <c r="H152" s="7"/>
      <c r="I152" s="8"/>
    </row>
    <row r="153" spans="2:12">
      <c r="B153" s="7"/>
      <c r="C153" s="123"/>
      <c r="D153" s="7"/>
      <c r="E153" s="7"/>
      <c r="F153" s="7"/>
      <c r="G153" s="7"/>
      <c r="H153" s="7"/>
      <c r="I153" s="8"/>
    </row>
    <row r="154" spans="2:12">
      <c r="B154" s="124" t="s">
        <v>63</v>
      </c>
      <c r="C154" s="125"/>
      <c r="D154" s="125"/>
      <c r="E154" s="125"/>
      <c r="F154" s="7"/>
      <c r="G154" s="7"/>
      <c r="H154" s="7"/>
      <c r="J154" s="21"/>
    </row>
    <row r="155" spans="2:12">
      <c r="B155" s="7"/>
      <c r="C155" s="125"/>
      <c r="D155" s="125"/>
      <c r="E155" s="125"/>
      <c r="F155" s="7"/>
      <c r="G155" s="125"/>
      <c r="H155" s="7"/>
    </row>
    <row r="156" spans="2:12" ht="25.5">
      <c r="B156" s="11" t="s">
        <v>46</v>
      </c>
      <c r="C156" s="11" t="s">
        <v>45</v>
      </c>
      <c r="D156" s="11" t="s">
        <v>61</v>
      </c>
      <c r="E156" s="126" t="s">
        <v>49</v>
      </c>
      <c r="F156" s="126" t="s">
        <v>47</v>
      </c>
      <c r="G156" s="126" t="s">
        <v>48</v>
      </c>
    </row>
    <row r="157" spans="2:12">
      <c r="B157" s="127">
        <v>20000</v>
      </c>
      <c r="C157" s="127">
        <v>10000</v>
      </c>
      <c r="D157" s="128">
        <v>10</v>
      </c>
      <c r="E157" s="38">
        <f>+B157-C157</f>
        <v>10000</v>
      </c>
      <c r="F157" s="38">
        <f>+E157/D157</f>
        <v>1000</v>
      </c>
      <c r="G157" s="38">
        <f>+F157</f>
        <v>1000</v>
      </c>
      <c r="H157" s="7"/>
    </row>
    <row r="158" spans="2:12">
      <c r="B158" s="38"/>
      <c r="C158" s="38"/>
      <c r="D158" s="129"/>
      <c r="E158" s="38">
        <f>+E157-F157</f>
        <v>9000</v>
      </c>
      <c r="F158" s="38">
        <f>+E157/D157</f>
        <v>1000</v>
      </c>
      <c r="G158" s="38">
        <f>+F157+F158</f>
        <v>2000</v>
      </c>
      <c r="H158" s="7"/>
    </row>
    <row r="159" spans="2:12">
      <c r="B159" s="38"/>
      <c r="C159" s="38"/>
      <c r="D159" s="129"/>
      <c r="E159" s="38">
        <f>+E158-F158</f>
        <v>8000</v>
      </c>
      <c r="F159" s="38">
        <f>+E157/D157</f>
        <v>1000</v>
      </c>
      <c r="G159" s="38">
        <f>+G158+F159</f>
        <v>3000</v>
      </c>
      <c r="H159" s="7"/>
    </row>
    <row r="160" spans="2:12">
      <c r="B160" s="38"/>
      <c r="C160" s="38"/>
      <c r="D160" s="129"/>
      <c r="E160" s="38">
        <f>+E159-F159</f>
        <v>7000</v>
      </c>
      <c r="F160" s="38">
        <f>+E157/D157</f>
        <v>1000</v>
      </c>
      <c r="G160" s="38">
        <f>+G159+F160</f>
        <v>4000</v>
      </c>
      <c r="H160" s="7"/>
    </row>
    <row r="161" spans="2:8">
      <c r="B161" s="41"/>
      <c r="C161" s="41"/>
      <c r="D161" s="130"/>
      <c r="E161" s="41">
        <f>+E160-F160</f>
        <v>6000</v>
      </c>
      <c r="F161" s="41">
        <f>+E157/D157</f>
        <v>1000</v>
      </c>
      <c r="G161" s="41">
        <f>+G160+F161</f>
        <v>5000</v>
      </c>
      <c r="H161" s="7"/>
    </row>
    <row r="162" spans="2:8">
      <c r="B162" s="131"/>
      <c r="C162" s="131"/>
      <c r="D162" s="131"/>
      <c r="E162" s="131"/>
      <c r="F162" s="131"/>
      <c r="G162" s="131"/>
      <c r="H162" s="7"/>
    </row>
    <row r="163" spans="2:8">
      <c r="B163" s="124" t="s">
        <v>165</v>
      </c>
      <c r="C163" s="125"/>
      <c r="D163" s="125"/>
      <c r="E163" s="7"/>
      <c r="F163" s="7"/>
      <c r="G163" s="125"/>
      <c r="H163" s="7"/>
    </row>
    <row r="164" spans="2:8">
      <c r="B164" s="7"/>
      <c r="C164" s="125"/>
      <c r="D164" s="125"/>
      <c r="E164" s="125"/>
      <c r="F164" s="125"/>
      <c r="G164" s="7"/>
      <c r="H164" s="7"/>
    </row>
    <row r="165" spans="2:8" ht="25.5">
      <c r="B165" s="11" t="s">
        <v>46</v>
      </c>
      <c r="C165" s="11" t="s">
        <v>45</v>
      </c>
      <c r="D165" s="11" t="s">
        <v>61</v>
      </c>
      <c r="E165" s="126" t="s">
        <v>49</v>
      </c>
      <c r="F165" s="126" t="s">
        <v>47</v>
      </c>
      <c r="G165" s="126" t="s">
        <v>48</v>
      </c>
      <c r="H165" s="7"/>
    </row>
    <row r="166" spans="2:8">
      <c r="B166" s="127">
        <v>36000</v>
      </c>
      <c r="C166" s="127">
        <v>15000</v>
      </c>
      <c r="D166" s="128">
        <v>10</v>
      </c>
      <c r="E166" s="38">
        <f>+B166-C166</f>
        <v>21000</v>
      </c>
      <c r="F166" s="38">
        <f>+E166/D166</f>
        <v>2100</v>
      </c>
      <c r="G166" s="38">
        <f>+F166</f>
        <v>2100</v>
      </c>
      <c r="H166" s="7"/>
    </row>
    <row r="167" spans="2:8">
      <c r="B167" s="38"/>
      <c r="C167" s="38"/>
      <c r="D167" s="129"/>
      <c r="E167" s="38">
        <f>+E166-F166</f>
        <v>18900</v>
      </c>
      <c r="F167" s="38">
        <f>+E166/D166</f>
        <v>2100</v>
      </c>
      <c r="G167" s="38">
        <f>+F166+F167</f>
        <v>4200</v>
      </c>
      <c r="H167" s="7"/>
    </row>
    <row r="168" spans="2:8">
      <c r="B168" s="38"/>
      <c r="C168" s="38"/>
      <c r="D168" s="129"/>
      <c r="E168" s="38">
        <f>+E167-F167</f>
        <v>16800</v>
      </c>
      <c r="F168" s="38">
        <f>+E166/D166</f>
        <v>2100</v>
      </c>
      <c r="G168" s="38">
        <f>+G167+F168</f>
        <v>6300</v>
      </c>
      <c r="H168" s="7"/>
    </row>
    <row r="169" spans="2:8">
      <c r="B169" s="38"/>
      <c r="C169" s="38"/>
      <c r="D169" s="129"/>
      <c r="E169" s="38">
        <f>+E168-F168</f>
        <v>14700</v>
      </c>
      <c r="F169" s="38">
        <f>+E166/D166</f>
        <v>2100</v>
      </c>
      <c r="G169" s="38">
        <f>+G168+F169</f>
        <v>8400</v>
      </c>
      <c r="H169" s="7"/>
    </row>
    <row r="170" spans="2:8">
      <c r="B170" s="41"/>
      <c r="C170" s="41"/>
      <c r="D170" s="130"/>
      <c r="E170" s="41">
        <f>+E169-F169</f>
        <v>12600</v>
      </c>
      <c r="F170" s="41">
        <f>+E166/D166</f>
        <v>2100</v>
      </c>
      <c r="G170" s="41">
        <f>+G169+F170</f>
        <v>10500</v>
      </c>
      <c r="H170" s="7"/>
    </row>
    <row r="171" spans="2:8">
      <c r="B171" s="7"/>
      <c r="C171" s="7"/>
      <c r="D171" s="7"/>
      <c r="E171" s="7"/>
      <c r="F171" s="125"/>
      <c r="G171" s="7"/>
      <c r="H171" s="7"/>
    </row>
    <row r="172" spans="2:8">
      <c r="C172" s="125"/>
      <c r="D172" s="132"/>
      <c r="E172" s="139" t="s">
        <v>166</v>
      </c>
      <c r="F172" s="11">
        <f>+F166+F157</f>
        <v>3100</v>
      </c>
      <c r="G172" s="7"/>
      <c r="H172" s="7"/>
    </row>
    <row r="173" spans="2:8">
      <c r="B173" s="124" t="s">
        <v>28</v>
      </c>
      <c r="C173" s="125"/>
      <c r="D173" s="132"/>
      <c r="E173" s="133"/>
      <c r="F173" s="131"/>
      <c r="G173" s="7"/>
      <c r="H173" s="7"/>
    </row>
    <row r="174" spans="2:8">
      <c r="B174" s="7"/>
      <c r="C174" s="125"/>
      <c r="D174" s="132"/>
      <c r="E174" s="133"/>
      <c r="F174" s="125"/>
      <c r="G174" s="7"/>
      <c r="H174" s="7"/>
    </row>
    <row r="175" spans="2:8" ht="25.5">
      <c r="B175" s="11" t="s">
        <v>46</v>
      </c>
      <c r="C175" s="11" t="s">
        <v>45</v>
      </c>
      <c r="D175" s="11" t="s">
        <v>61</v>
      </c>
      <c r="E175" s="126" t="s">
        <v>49</v>
      </c>
      <c r="F175" s="126" t="s">
        <v>47</v>
      </c>
      <c r="G175" s="126" t="s">
        <v>48</v>
      </c>
      <c r="H175" s="7"/>
    </row>
    <row r="176" spans="2:8">
      <c r="B176" s="127">
        <v>12000</v>
      </c>
      <c r="C176" s="38"/>
      <c r="D176" s="128">
        <v>5</v>
      </c>
      <c r="E176" s="38">
        <f>+B176-C176</f>
        <v>12000</v>
      </c>
      <c r="F176" s="38">
        <f>+E176/D176</f>
        <v>2400</v>
      </c>
      <c r="G176" s="38">
        <f>+F176</f>
        <v>2400</v>
      </c>
      <c r="H176" s="7"/>
    </row>
    <row r="177" spans="2:8">
      <c r="B177" s="38" t="s">
        <v>29</v>
      </c>
      <c r="C177" s="38"/>
      <c r="D177" s="129"/>
      <c r="E177" s="38">
        <f>+E176-F176</f>
        <v>9600</v>
      </c>
      <c r="F177" s="38">
        <f>+E176/D176</f>
        <v>2400</v>
      </c>
      <c r="G177" s="38">
        <f>+F176+F177</f>
        <v>4800</v>
      </c>
      <c r="H177" s="7"/>
    </row>
    <row r="178" spans="2:8">
      <c r="B178" s="38"/>
      <c r="C178" s="38"/>
      <c r="D178" s="129"/>
      <c r="E178" s="38">
        <f>+E177-F177</f>
        <v>7200</v>
      </c>
      <c r="F178" s="38">
        <f>+E176/D176</f>
        <v>2400</v>
      </c>
      <c r="G178" s="38">
        <f>+G177+F178</f>
        <v>7200</v>
      </c>
      <c r="H178" s="7"/>
    </row>
    <row r="179" spans="2:8">
      <c r="B179" s="38"/>
      <c r="C179" s="38"/>
      <c r="D179" s="129"/>
      <c r="E179" s="38">
        <f>+E178-F178</f>
        <v>4800</v>
      </c>
      <c r="F179" s="38">
        <f>+E176/D176</f>
        <v>2400</v>
      </c>
      <c r="G179" s="38">
        <f>+G178+F179</f>
        <v>9600</v>
      </c>
      <c r="H179" s="7"/>
    </row>
    <row r="180" spans="2:8">
      <c r="B180" s="41"/>
      <c r="C180" s="41"/>
      <c r="D180" s="130"/>
      <c r="E180" s="41">
        <f>+E179-F179</f>
        <v>2400</v>
      </c>
      <c r="F180" s="41">
        <f>+E176/D176</f>
        <v>2400</v>
      </c>
      <c r="G180" s="41">
        <f>+G179+F180</f>
        <v>12000</v>
      </c>
      <c r="H180" s="125"/>
    </row>
    <row r="181" spans="2:8">
      <c r="B181" s="127">
        <v>14000</v>
      </c>
      <c r="C181" s="38"/>
      <c r="D181" s="128">
        <v>5</v>
      </c>
      <c r="E181" s="38">
        <f>+B181-C181</f>
        <v>14000</v>
      </c>
      <c r="F181" s="38">
        <f>+E181/D181</f>
        <v>2800</v>
      </c>
      <c r="G181" s="38">
        <f>+F181</f>
        <v>2800</v>
      </c>
      <c r="H181" s="125"/>
    </row>
    <row r="182" spans="2:8">
      <c r="B182" s="38" t="s">
        <v>30</v>
      </c>
      <c r="C182" s="38"/>
      <c r="D182" s="129"/>
      <c r="E182" s="38">
        <f>+E181-F181</f>
        <v>11200</v>
      </c>
      <c r="F182" s="38">
        <f>+E181/D181</f>
        <v>2800</v>
      </c>
      <c r="G182" s="38">
        <f>+F181+F182</f>
        <v>5600</v>
      </c>
      <c r="H182" s="125"/>
    </row>
    <row r="183" spans="2:8">
      <c r="B183" s="38"/>
      <c r="C183" s="38"/>
      <c r="D183" s="129"/>
      <c r="E183" s="38">
        <f>+E182-F182</f>
        <v>8400</v>
      </c>
      <c r="F183" s="38">
        <f>+E181/D181</f>
        <v>2800</v>
      </c>
      <c r="G183" s="38">
        <f>+G182+F183</f>
        <v>8400</v>
      </c>
      <c r="H183" s="7"/>
    </row>
    <row r="184" spans="2:8">
      <c r="B184" s="38"/>
      <c r="C184" s="38"/>
      <c r="D184" s="129"/>
      <c r="E184" s="38">
        <f>+E183-F183</f>
        <v>5600</v>
      </c>
      <c r="F184" s="38">
        <f>+E181/D181</f>
        <v>2800</v>
      </c>
      <c r="G184" s="38">
        <f>+G183+F184</f>
        <v>11200</v>
      </c>
      <c r="H184" s="7"/>
    </row>
    <row r="185" spans="2:8">
      <c r="B185" s="41"/>
      <c r="C185" s="41"/>
      <c r="D185" s="130"/>
      <c r="E185" s="41">
        <f>+E184-F184</f>
        <v>2800</v>
      </c>
      <c r="F185" s="41">
        <f>+E181/D181</f>
        <v>2800</v>
      </c>
      <c r="G185" s="41">
        <f>+G184+F185</f>
        <v>14000</v>
      </c>
      <c r="H185" s="7"/>
    </row>
    <row r="186" spans="2:8">
      <c r="B186" s="7"/>
      <c r="C186" s="7"/>
      <c r="D186" s="7"/>
      <c r="E186" s="7"/>
      <c r="F186" s="7"/>
      <c r="G186" s="7"/>
      <c r="H186" s="7"/>
    </row>
    <row r="187" spans="2:8">
      <c r="B187" s="7"/>
      <c r="C187" s="7"/>
      <c r="D187" s="122"/>
      <c r="E187" s="122"/>
      <c r="F187" s="122"/>
      <c r="G187" s="122"/>
      <c r="H187" s="122"/>
    </row>
    <row r="188" spans="2:8">
      <c r="B188" s="7"/>
      <c r="C188" s="7"/>
      <c r="D188" s="134"/>
      <c r="E188" s="134"/>
      <c r="F188" s="134"/>
      <c r="G188" s="134"/>
      <c r="H188" s="134"/>
    </row>
    <row r="189" spans="2:8">
      <c r="B189" s="7"/>
      <c r="C189" s="7"/>
      <c r="D189" s="134"/>
      <c r="E189" s="134"/>
      <c r="F189" s="134"/>
      <c r="G189" s="134"/>
      <c r="H189" s="134"/>
    </row>
    <row r="190" spans="2:8">
      <c r="B190" s="7"/>
      <c r="C190" s="7"/>
      <c r="D190" s="125"/>
      <c r="E190" s="125"/>
      <c r="F190" s="125"/>
      <c r="G190" s="125"/>
      <c r="H190" s="125"/>
    </row>
    <row r="191" spans="2:8">
      <c r="B191" s="7"/>
      <c r="C191" s="7"/>
      <c r="D191" s="125"/>
      <c r="E191" s="125"/>
      <c r="F191" s="125"/>
      <c r="G191" s="125"/>
      <c r="H191" s="125"/>
    </row>
    <row r="192" spans="2:8">
      <c r="B192" s="7"/>
      <c r="C192" s="7"/>
      <c r="D192" s="125"/>
      <c r="E192" s="125"/>
      <c r="F192" s="125"/>
      <c r="G192" s="125"/>
      <c r="H192" s="125"/>
    </row>
    <row r="193" spans="2:8">
      <c r="B193" s="7"/>
      <c r="C193" s="7"/>
      <c r="D193" s="125"/>
      <c r="E193" s="125"/>
      <c r="F193" s="125"/>
      <c r="G193" s="125"/>
      <c r="H193" s="125"/>
    </row>
    <row r="194" spans="2:8">
      <c r="B194" s="7"/>
      <c r="C194" s="7"/>
      <c r="D194" s="125"/>
      <c r="E194" s="125"/>
      <c r="F194" s="125"/>
      <c r="G194" s="125"/>
      <c r="H194" s="125"/>
    </row>
    <row r="195" spans="2:8">
      <c r="B195" s="7"/>
      <c r="C195" s="7"/>
      <c r="D195" s="125"/>
      <c r="E195" s="125"/>
      <c r="F195" s="125"/>
      <c r="G195" s="125"/>
      <c r="H195" s="125"/>
    </row>
    <row r="196" spans="2:8">
      <c r="B196" s="7"/>
      <c r="C196" s="7"/>
      <c r="D196" s="125"/>
      <c r="E196" s="125"/>
      <c r="F196" s="125"/>
      <c r="G196" s="125"/>
      <c r="H196" s="125"/>
    </row>
    <row r="197" spans="2:8">
      <c r="B197" s="7"/>
      <c r="C197" s="7"/>
      <c r="D197" s="133"/>
      <c r="E197" s="133"/>
      <c r="F197" s="133"/>
      <c r="G197" s="133"/>
      <c r="H197" s="133"/>
    </row>
    <row r="198" spans="2:8">
      <c r="B198" s="7"/>
      <c r="C198" s="7"/>
      <c r="D198" s="7"/>
      <c r="E198" s="7"/>
      <c r="F198" s="7"/>
      <c r="G198" s="7"/>
      <c r="H198" s="7"/>
    </row>
    <row r="199" spans="2:8">
      <c r="B199" s="7"/>
      <c r="C199" s="125"/>
      <c r="D199" s="122"/>
      <c r="E199" s="122"/>
      <c r="F199" s="122"/>
      <c r="G199" s="122"/>
      <c r="H199" s="122"/>
    </row>
    <row r="200" spans="2:8">
      <c r="B200" s="7"/>
      <c r="C200" s="7"/>
      <c r="D200" s="7"/>
      <c r="E200" s="7"/>
      <c r="F200" s="7"/>
      <c r="G200" s="7"/>
      <c r="H200" s="7"/>
    </row>
    <row r="201" spans="2:8">
      <c r="B201" s="7"/>
      <c r="C201" s="125"/>
      <c r="D201" s="125"/>
      <c r="E201" s="125"/>
      <c r="F201" s="125"/>
      <c r="G201" s="125"/>
      <c r="H201" s="125"/>
    </row>
    <row r="202" spans="2:8">
      <c r="B202" s="7"/>
      <c r="C202" s="7"/>
      <c r="D202" s="7"/>
      <c r="E202" s="7"/>
      <c r="F202" s="7"/>
      <c r="G202" s="7"/>
      <c r="H202" s="7"/>
    </row>
    <row r="203" spans="2:8">
      <c r="B203" s="7"/>
      <c r="C203" s="7"/>
      <c r="D203" s="125"/>
      <c r="E203" s="125"/>
      <c r="F203" s="125"/>
      <c r="G203" s="125"/>
      <c r="H203" s="125"/>
    </row>
    <row r="204" spans="2:8">
      <c r="B204" s="7"/>
      <c r="C204" s="7"/>
      <c r="D204" s="7"/>
      <c r="E204" s="7"/>
      <c r="F204" s="7"/>
      <c r="G204" s="7"/>
      <c r="H204" s="7"/>
    </row>
    <row r="205" spans="2:8">
      <c r="B205" s="7"/>
      <c r="C205" s="125"/>
      <c r="D205" s="125"/>
      <c r="E205" s="125"/>
      <c r="F205" s="125"/>
      <c r="G205" s="125"/>
      <c r="H205" s="125"/>
    </row>
    <row r="206" spans="2:8">
      <c r="B206" s="7"/>
      <c r="C206" s="7"/>
      <c r="D206" s="7"/>
      <c r="E206" s="7"/>
      <c r="F206" s="7"/>
      <c r="G206" s="7"/>
      <c r="H206" s="7"/>
    </row>
    <row r="234" spans="3:3">
      <c r="C234" s="5"/>
    </row>
    <row r="235" spans="3:3">
      <c r="C235" s="21"/>
    </row>
    <row r="236" spans="3:3">
      <c r="C236" s="21"/>
    </row>
    <row r="237" spans="3:3">
      <c r="C237" s="21"/>
    </row>
  </sheetData>
  <mergeCells count="23">
    <mergeCell ref="F144:F146"/>
    <mergeCell ref="B142:B143"/>
    <mergeCell ref="B144:B146"/>
    <mergeCell ref="B99:B100"/>
    <mergeCell ref="B116:B117"/>
    <mergeCell ref="B130:B131"/>
    <mergeCell ref="C130:G130"/>
    <mergeCell ref="C99:G99"/>
    <mergeCell ref="C116:G116"/>
    <mergeCell ref="C84:G84"/>
    <mergeCell ref="C51:G51"/>
    <mergeCell ref="B84:B85"/>
    <mergeCell ref="B51:B52"/>
    <mergeCell ref="F141:F143"/>
    <mergeCell ref="C8:G8"/>
    <mergeCell ref="C20:G20"/>
    <mergeCell ref="C69:G69"/>
    <mergeCell ref="C2:E2"/>
    <mergeCell ref="B8:B9"/>
    <mergeCell ref="B20:B21"/>
    <mergeCell ref="B42:B43"/>
    <mergeCell ref="B69:B70"/>
    <mergeCell ref="C42:G42"/>
  </mergeCells>
  <phoneticPr fontId="4" type="noConversion"/>
  <pageMargins left="0.7" right="0.7" top="0.75" bottom="0.75" header="0.3" footer="0.3"/>
  <pageSetup paperSize="9" orientation="portrait" r:id="rId1"/>
  <ignoredErrors>
    <ignoredError sqref="D102:G10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G49"/>
  <sheetViews>
    <sheetView workbookViewId="0">
      <selection activeCell="E43" sqref="E43"/>
    </sheetView>
  </sheetViews>
  <sheetFormatPr baseColWidth="10" defaultRowHeight="12.75"/>
  <cols>
    <col min="1" max="1" width="1.85546875" style="1" customWidth="1"/>
    <col min="2" max="2" width="28.85546875" style="1" customWidth="1"/>
    <col min="3" max="3" width="20.5703125" style="1" customWidth="1"/>
    <col min="4" max="4" width="20.140625" style="1" customWidth="1"/>
    <col min="5" max="5" width="19.42578125" style="1" customWidth="1"/>
    <col min="6" max="6" width="14.85546875" style="1" customWidth="1"/>
    <col min="7" max="16384" width="11.42578125" style="1"/>
  </cols>
  <sheetData>
    <row r="2" spans="1:7">
      <c r="B2" s="6" t="s">
        <v>23</v>
      </c>
    </row>
    <row r="4" spans="1:7">
      <c r="B4" s="10"/>
      <c r="C4" s="11" t="s">
        <v>31</v>
      </c>
      <c r="D4" s="11" t="s">
        <v>32</v>
      </c>
      <c r="E4" s="11" t="s">
        <v>33</v>
      </c>
    </row>
    <row r="5" spans="1:7">
      <c r="A5" s="12"/>
      <c r="B5" s="13"/>
      <c r="C5" s="13"/>
      <c r="D5" s="14"/>
      <c r="E5" s="14"/>
    </row>
    <row r="6" spans="1:7">
      <c r="A6" s="12"/>
      <c r="B6" s="15" t="s">
        <v>24</v>
      </c>
      <c r="C6" s="16">
        <f>C7+C8</f>
        <v>56000</v>
      </c>
      <c r="D6" s="17">
        <f>+C6</f>
        <v>56000</v>
      </c>
      <c r="E6" s="17"/>
    </row>
    <row r="7" spans="1:7">
      <c r="A7" s="12"/>
      <c r="B7" s="12" t="s">
        <v>63</v>
      </c>
      <c r="C7" s="18">
        <f>+Presupuestos!B157</f>
        <v>20000</v>
      </c>
      <c r="D7" s="17"/>
      <c r="E7" s="19"/>
    </row>
    <row r="8" spans="1:7">
      <c r="A8" s="12"/>
      <c r="B8" s="20" t="s">
        <v>67</v>
      </c>
      <c r="C8" s="18">
        <f>+Presupuestos!B166</f>
        <v>36000</v>
      </c>
      <c r="D8" s="17"/>
      <c r="E8" s="19"/>
      <c r="G8" s="2"/>
    </row>
    <row r="9" spans="1:7">
      <c r="A9" s="12"/>
      <c r="B9" s="12"/>
      <c r="C9" s="18"/>
      <c r="D9" s="17"/>
      <c r="E9" s="19"/>
    </row>
    <row r="10" spans="1:7">
      <c r="A10" s="12"/>
      <c r="B10" s="15" t="s">
        <v>25</v>
      </c>
      <c r="C10" s="16">
        <f>+C11+C12+C13+C14+C15+C16</f>
        <v>68727.900833333333</v>
      </c>
      <c r="D10" s="17"/>
      <c r="E10" s="17">
        <f>+C10</f>
        <v>68727.900833333333</v>
      </c>
      <c r="F10" s="21"/>
    </row>
    <row r="11" spans="1:7">
      <c r="A11" s="12"/>
      <c r="B11" s="12" t="s">
        <v>26</v>
      </c>
      <c r="C11" s="18">
        <f>+Presupuestos!C78/12/30*37</f>
        <v>135511.10222222225</v>
      </c>
      <c r="D11" s="17"/>
      <c r="E11" s="17"/>
    </row>
    <row r="12" spans="1:7" ht="25.5">
      <c r="A12" s="12"/>
      <c r="B12" s="20" t="s">
        <v>101</v>
      </c>
      <c r="C12" s="18">
        <f>+(Presupuestos!C101+Presupuestos!C102+Presupuestos!C118)/12/30*37</f>
        <v>14880.9375</v>
      </c>
      <c r="D12" s="17"/>
      <c r="E12" s="17"/>
    </row>
    <row r="13" spans="1:7">
      <c r="A13" s="12"/>
      <c r="B13" s="12" t="s">
        <v>100</v>
      </c>
      <c r="C13" s="18">
        <f>+(Presupuestos!C119+Presupuestos!C120)/12/30*37</f>
        <v>73383.333333333328</v>
      </c>
      <c r="D13" s="17"/>
      <c r="E13" s="17"/>
    </row>
    <row r="14" spans="1:7">
      <c r="A14" s="12"/>
      <c r="B14" s="12" t="s">
        <v>27</v>
      </c>
      <c r="C14" s="18">
        <f>+(Presupuestos!C103+Presupuestos!C104)/12/30*37</f>
        <v>539.58333333333337</v>
      </c>
      <c r="D14" s="17"/>
      <c r="E14" s="17"/>
    </row>
    <row r="15" spans="1:7">
      <c r="A15" s="12"/>
      <c r="B15" s="22" t="s">
        <v>102</v>
      </c>
      <c r="C15" s="23">
        <f>-Presupuestos!C22/12/30*37</f>
        <v>-151946.66666666669</v>
      </c>
      <c r="D15" s="24"/>
      <c r="E15" s="17"/>
    </row>
    <row r="16" spans="1:7">
      <c r="A16" s="12"/>
      <c r="B16" s="22" t="s">
        <v>103</v>
      </c>
      <c r="C16" s="23">
        <f>-Presupuestos!C91/12/30*37</f>
        <v>-3640.3888888888887</v>
      </c>
      <c r="D16" s="24"/>
      <c r="E16" s="17"/>
    </row>
    <row r="17" spans="1:7">
      <c r="A17" s="12"/>
      <c r="B17" s="12"/>
      <c r="C17" s="18"/>
      <c r="D17" s="17"/>
      <c r="E17" s="17"/>
      <c r="F17" s="21"/>
    </row>
    <row r="18" spans="1:7">
      <c r="A18" s="12"/>
      <c r="B18" s="15" t="s">
        <v>28</v>
      </c>
      <c r="C18" s="16">
        <f>+C19+C20</f>
        <v>26000</v>
      </c>
      <c r="D18" s="17"/>
      <c r="E18" s="17">
        <f>+C18</f>
        <v>26000</v>
      </c>
    </row>
    <row r="19" spans="1:7">
      <c r="A19" s="12"/>
      <c r="B19" s="22" t="s">
        <v>29</v>
      </c>
      <c r="C19" s="18">
        <f>+Presupuestos!B176</f>
        <v>12000</v>
      </c>
      <c r="D19" s="17"/>
      <c r="E19" s="17"/>
    </row>
    <row r="20" spans="1:7">
      <c r="A20" s="12"/>
      <c r="B20" s="12" t="s">
        <v>30</v>
      </c>
      <c r="C20" s="18">
        <f>+Presupuestos!B181</f>
        <v>14000</v>
      </c>
      <c r="D20" s="17"/>
      <c r="E20" s="17"/>
    </row>
    <row r="21" spans="1:7">
      <c r="A21" s="12"/>
      <c r="B21" s="25"/>
      <c r="C21" s="26"/>
      <c r="D21" s="27"/>
      <c r="E21" s="28"/>
      <c r="G21" s="21"/>
    </row>
    <row r="22" spans="1:7">
      <c r="B22" s="29" t="s">
        <v>14</v>
      </c>
      <c r="C22" s="30">
        <f>+C6+C10+C18</f>
        <v>150727.90083333332</v>
      </c>
      <c r="D22" s="30">
        <f>SUM(D6:D21)</f>
        <v>56000</v>
      </c>
      <c r="E22" s="30">
        <f>E10+E18</f>
        <v>94727.900833333333</v>
      </c>
      <c r="F22" s="21"/>
      <c r="G22" s="21"/>
    </row>
    <row r="23" spans="1:7">
      <c r="D23" s="31">
        <f>+(D22)/C22</f>
        <v>0.37153041799422221</v>
      </c>
      <c r="E23" s="31">
        <f>+(E22)/C22</f>
        <v>0.62846958200577785</v>
      </c>
      <c r="F23" s="32"/>
    </row>
    <row r="25" spans="1:7">
      <c r="B25" s="6" t="s">
        <v>34</v>
      </c>
    </row>
    <row r="27" spans="1:7">
      <c r="B27" s="10" t="s">
        <v>35</v>
      </c>
      <c r="C27" s="33">
        <v>1</v>
      </c>
    </row>
    <row r="28" spans="1:7">
      <c r="B28" s="10" t="s">
        <v>99</v>
      </c>
      <c r="C28" s="33">
        <v>2</v>
      </c>
    </row>
    <row r="29" spans="1:7">
      <c r="B29" s="10" t="s">
        <v>36</v>
      </c>
      <c r="C29" s="33">
        <v>30</v>
      </c>
    </row>
    <row r="30" spans="1:7">
      <c r="B30" s="10" t="s">
        <v>37</v>
      </c>
      <c r="C30" s="33">
        <v>3</v>
      </c>
    </row>
    <row r="31" spans="1:7">
      <c r="B31" s="10" t="s">
        <v>38</v>
      </c>
      <c r="C31" s="33">
        <v>1</v>
      </c>
    </row>
    <row r="32" spans="1:7">
      <c r="B32" s="10" t="s">
        <v>14</v>
      </c>
      <c r="C32" s="10">
        <f>SUM(C27:C31)</f>
        <v>37</v>
      </c>
    </row>
    <row r="34" spans="2:6">
      <c r="B34" s="6" t="s">
        <v>59</v>
      </c>
    </row>
    <row r="36" spans="2:6">
      <c r="B36" s="34" t="s">
        <v>39</v>
      </c>
      <c r="C36" s="35">
        <v>0.28000000000000003</v>
      </c>
    </row>
    <row r="37" spans="2:6">
      <c r="B37" s="185" t="s">
        <v>132</v>
      </c>
      <c r="C37" s="185"/>
      <c r="D37" s="185"/>
    </row>
    <row r="39" spans="2:6">
      <c r="B39" s="11" t="s">
        <v>40</v>
      </c>
      <c r="C39" s="11" t="s">
        <v>2</v>
      </c>
      <c r="D39" s="11" t="s">
        <v>41</v>
      </c>
      <c r="E39" s="11" t="s">
        <v>131</v>
      </c>
      <c r="F39" s="11" t="s">
        <v>42</v>
      </c>
    </row>
    <row r="40" spans="2:6">
      <c r="B40" s="36">
        <v>0</v>
      </c>
      <c r="C40" s="14"/>
      <c r="D40" s="14"/>
      <c r="E40" s="14"/>
      <c r="F40" s="37">
        <f>+E22</f>
        <v>94727.900833333333</v>
      </c>
    </row>
    <row r="41" spans="2:6">
      <c r="B41" s="38">
        <v>1</v>
      </c>
      <c r="C41" s="17">
        <f>+F40*C36</f>
        <v>26523.812233333334</v>
      </c>
      <c r="D41" s="39">
        <f>PMT($C$36,5,$F$40)</f>
        <v>-37412.193640654266</v>
      </c>
      <c r="E41" s="40">
        <f>SUM(C41:D41)</f>
        <v>-10888.381407320932</v>
      </c>
      <c r="F41" s="18">
        <f>+F40+E41</f>
        <v>83839.519426012397</v>
      </c>
    </row>
    <row r="42" spans="2:6">
      <c r="B42" s="38">
        <v>2</v>
      </c>
      <c r="C42" s="17">
        <f>+F41*C36</f>
        <v>23475.065439283473</v>
      </c>
      <c r="D42" s="39">
        <f t="shared" ref="D42:D45" si="0">PMT($C$36,5,$F$40)</f>
        <v>-37412.193640654266</v>
      </c>
      <c r="E42" s="40">
        <f>SUM(C42:D42)</f>
        <v>-13937.128201370793</v>
      </c>
      <c r="F42" s="18">
        <f>+F41+E42</f>
        <v>69902.3912246416</v>
      </c>
    </row>
    <row r="43" spans="2:6">
      <c r="B43" s="38">
        <v>3</v>
      </c>
      <c r="C43" s="17">
        <f>+F42*C36</f>
        <v>19572.66954289965</v>
      </c>
      <c r="D43" s="39">
        <f t="shared" si="0"/>
        <v>-37412.193640654266</v>
      </c>
      <c r="E43" s="40">
        <f>SUM(C43:D43)</f>
        <v>-17839.524097754616</v>
      </c>
      <c r="F43" s="18">
        <f>+F42+E43</f>
        <v>52062.86712688698</v>
      </c>
    </row>
    <row r="44" spans="2:6">
      <c r="B44" s="38">
        <v>4</v>
      </c>
      <c r="C44" s="17">
        <f>+F43*C36</f>
        <v>14577.602795528355</v>
      </c>
      <c r="D44" s="39">
        <f t="shared" si="0"/>
        <v>-37412.193640654266</v>
      </c>
      <c r="E44" s="40">
        <f>SUM(C44:D44)</f>
        <v>-22834.590845125909</v>
      </c>
      <c r="F44" s="18">
        <f>+F43+E44</f>
        <v>29228.276281761071</v>
      </c>
    </row>
    <row r="45" spans="2:6">
      <c r="B45" s="41">
        <v>5</v>
      </c>
      <c r="C45" s="27">
        <f>+F44*C36</f>
        <v>8183.9173588931008</v>
      </c>
      <c r="D45" s="39">
        <f t="shared" si="0"/>
        <v>-37412.193640654266</v>
      </c>
      <c r="E45" s="42">
        <f>SUM(C45:D45)</f>
        <v>-29228.276281761166</v>
      </c>
      <c r="F45" s="26">
        <f>+F44+E45</f>
        <v>-9.4587448984384537E-11</v>
      </c>
    </row>
    <row r="46" spans="2:6">
      <c r="B46" s="28" t="s">
        <v>43</v>
      </c>
      <c r="C46" s="27">
        <f>SUM(C41:C45)</f>
        <v>92333.067369937911</v>
      </c>
      <c r="D46" s="43"/>
    </row>
    <row r="49" spans="5:5">
      <c r="E49" s="21"/>
    </row>
  </sheetData>
  <mergeCells count="1">
    <mergeCell ref="B37:D37"/>
  </mergeCells>
  <phoneticPr fontId="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E6" sqref="E6"/>
    </sheetView>
  </sheetViews>
  <sheetFormatPr baseColWidth="10" defaultRowHeight="12.75"/>
  <cols>
    <col min="1" max="1" width="1.28515625" style="140" customWidth="1"/>
    <col min="2" max="2" width="39.85546875" style="140" bestFit="1" customWidth="1"/>
    <col min="3" max="3" width="14.42578125" style="140" bestFit="1" customWidth="1"/>
    <col min="4" max="8" width="13.42578125" style="140" bestFit="1" customWidth="1"/>
    <col min="9" max="16384" width="11.42578125" style="140"/>
  </cols>
  <sheetData>
    <row r="1" spans="1:8" s="191" customFormat="1" ht="13.5" thickBot="1">
      <c r="B1" s="192"/>
      <c r="C1" s="193"/>
    </row>
    <row r="2" spans="1:8" s="194" customFormat="1" ht="34.5" thickBot="1">
      <c r="B2" s="195" t="s">
        <v>171</v>
      </c>
      <c r="C2" s="196"/>
      <c r="D2" s="196"/>
      <c r="E2" s="196"/>
      <c r="F2" s="196"/>
      <c r="G2" s="196"/>
      <c r="H2" s="197"/>
    </row>
    <row r="3" spans="1:8" customFormat="1" ht="13.5" thickBot="1">
      <c r="B3" s="198"/>
      <c r="C3" s="199"/>
    </row>
    <row r="4" spans="1:8" ht="18" customHeight="1" thickBot="1">
      <c r="B4" s="141" t="s">
        <v>167</v>
      </c>
      <c r="C4" s="142">
        <v>0.3</v>
      </c>
      <c r="D4" s="143"/>
      <c r="E4" s="143"/>
      <c r="F4" s="143"/>
      <c r="G4" s="143"/>
      <c r="H4" s="143"/>
    </row>
    <row r="5" spans="1:8" ht="18" customHeight="1">
      <c r="A5" s="144"/>
      <c r="B5" s="144"/>
      <c r="C5" s="144"/>
      <c r="D5" s="144"/>
      <c r="E5" s="144"/>
      <c r="F5" s="144"/>
      <c r="G5" s="144"/>
      <c r="H5" s="144"/>
    </row>
    <row r="6" spans="1:8" ht="18" customHeight="1">
      <c r="B6" s="145" t="s">
        <v>3</v>
      </c>
      <c r="C6" s="146" t="s">
        <v>121</v>
      </c>
      <c r="E6" s="147"/>
      <c r="F6" s="148"/>
      <c r="G6" s="144"/>
      <c r="H6" s="144"/>
    </row>
    <row r="7" spans="1:8" ht="18" customHeight="1">
      <c r="B7" s="149">
        <v>0.3</v>
      </c>
      <c r="C7" s="150">
        <f>1/(1+B7)</f>
        <v>0.76923076923076916</v>
      </c>
      <c r="E7" s="147"/>
      <c r="F7" s="148"/>
      <c r="G7" s="144"/>
      <c r="H7" s="151"/>
    </row>
    <row r="8" spans="1:8">
      <c r="A8" s="144"/>
      <c r="B8" s="144"/>
      <c r="C8" s="152"/>
      <c r="D8" s="152"/>
      <c r="E8" s="152"/>
      <c r="F8" s="152"/>
      <c r="G8" s="152"/>
      <c r="H8" s="152"/>
    </row>
    <row r="9" spans="1:8" ht="18" customHeight="1">
      <c r="A9" s="144"/>
      <c r="B9" s="189"/>
      <c r="C9" s="186" t="s">
        <v>4</v>
      </c>
      <c r="D9" s="187"/>
      <c r="E9" s="187"/>
      <c r="F9" s="187"/>
      <c r="G9" s="187"/>
      <c r="H9" s="188"/>
    </row>
    <row r="10" spans="1:8" ht="18" customHeight="1">
      <c r="A10" s="144"/>
      <c r="B10" s="190"/>
      <c r="C10" s="153">
        <v>0</v>
      </c>
      <c r="D10" s="154">
        <v>1</v>
      </c>
      <c r="E10" s="153">
        <v>2</v>
      </c>
      <c r="F10" s="154">
        <v>3</v>
      </c>
      <c r="G10" s="155">
        <v>4</v>
      </c>
      <c r="H10" s="153">
        <v>5</v>
      </c>
    </row>
    <row r="11" spans="1:8" ht="18" customHeight="1">
      <c r="A11" s="144"/>
      <c r="B11" s="155" t="s">
        <v>62</v>
      </c>
      <c r="C11" s="156">
        <v>-150000</v>
      </c>
      <c r="D11" s="156">
        <v>170000</v>
      </c>
      <c r="E11" s="156">
        <v>195000</v>
      </c>
      <c r="F11" s="156">
        <v>220000</v>
      </c>
      <c r="G11" s="156">
        <v>245000</v>
      </c>
      <c r="H11" s="156">
        <v>270000</v>
      </c>
    </row>
    <row r="12" spans="1:8" ht="18" customHeight="1">
      <c r="A12" s="144"/>
      <c r="B12" s="157" t="s">
        <v>5</v>
      </c>
      <c r="C12" s="158"/>
      <c r="D12" s="159">
        <f>$C$7^D10</f>
        <v>0.76923076923076916</v>
      </c>
      <c r="E12" s="159">
        <f>$C$7^E10</f>
        <v>0.59171597633136086</v>
      </c>
      <c r="F12" s="159">
        <f>$C$7^F10</f>
        <v>0.45516613563950831</v>
      </c>
      <c r="G12" s="159">
        <f>$C$7^G10</f>
        <v>0.35012779664577559</v>
      </c>
      <c r="H12" s="159">
        <f>$C$7^H10</f>
        <v>0.26932907434290426</v>
      </c>
    </row>
    <row r="13" spans="1:8" ht="18" customHeight="1">
      <c r="A13" s="144"/>
      <c r="B13" s="160" t="s">
        <v>169</v>
      </c>
      <c r="C13" s="161">
        <v>-150000</v>
      </c>
      <c r="D13" s="158">
        <f>+D11*D12</f>
        <v>130769.23076923075</v>
      </c>
      <c r="E13" s="158">
        <f>+E11*E12</f>
        <v>115384.61538461536</v>
      </c>
      <c r="F13" s="158">
        <f>+F11*F12</f>
        <v>100136.54984069183</v>
      </c>
      <c r="G13" s="158">
        <f>+G11*G12</f>
        <v>85781.310178215019</v>
      </c>
      <c r="H13" s="158">
        <f>+H11*H12</f>
        <v>72718.850072584144</v>
      </c>
    </row>
    <row r="14" spans="1:8" ht="18" customHeight="1">
      <c r="A14" s="144"/>
      <c r="B14" s="162" t="s">
        <v>168</v>
      </c>
      <c r="C14" s="163">
        <f>+SUM(D13:H13)+C11</f>
        <v>354790.55624533712</v>
      </c>
      <c r="D14" s="148"/>
      <c r="E14" s="148"/>
      <c r="F14" s="148"/>
      <c r="G14" s="148"/>
      <c r="H14" s="148"/>
    </row>
    <row r="15" spans="1:8" ht="18" customHeight="1">
      <c r="A15" s="144"/>
      <c r="B15" s="162" t="s">
        <v>130</v>
      </c>
      <c r="C15" s="161">
        <f>C11+NPV(B7,D11:H11)</f>
        <v>354790.55624533712</v>
      </c>
      <c r="D15" s="152"/>
      <c r="E15" s="152"/>
      <c r="F15" s="152"/>
      <c r="G15" s="152"/>
      <c r="H15" s="152"/>
    </row>
    <row r="16" spans="1:8" ht="18" customHeight="1">
      <c r="A16" s="144"/>
      <c r="B16" s="160" t="s">
        <v>6</v>
      </c>
      <c r="C16" s="164">
        <f>IRR(C11:H11)</f>
        <v>1.2306996514379087</v>
      </c>
      <c r="D16" s="152"/>
      <c r="E16" s="152"/>
      <c r="F16" s="152"/>
      <c r="G16" s="152"/>
      <c r="H16" s="152"/>
    </row>
    <row r="17" spans="2:8" ht="18" customHeight="1">
      <c r="B17" s="143"/>
      <c r="C17" s="143"/>
      <c r="D17" s="143"/>
      <c r="E17" s="143"/>
      <c r="F17" s="143"/>
      <c r="G17" s="143"/>
      <c r="H17" s="143"/>
    </row>
    <row r="18" spans="2:8" ht="18" customHeight="1">
      <c r="B18" s="143"/>
      <c r="C18" s="143"/>
      <c r="D18" s="143"/>
      <c r="E18" s="143"/>
      <c r="F18" s="143"/>
      <c r="G18" s="143"/>
      <c r="H18" s="143"/>
    </row>
    <row r="19" spans="2:8" ht="18" customHeight="1">
      <c r="B19" s="165" t="s">
        <v>170</v>
      </c>
      <c r="C19" s="166">
        <f>C13+NPV(C16,D11:H11)</f>
        <v>0</v>
      </c>
      <c r="D19" s="143"/>
      <c r="E19" s="143"/>
      <c r="F19" s="143"/>
      <c r="G19" s="143"/>
      <c r="H19" s="143"/>
    </row>
  </sheetData>
  <mergeCells count="3">
    <mergeCell ref="B2:H2"/>
    <mergeCell ref="C9:H9"/>
    <mergeCell ref="B9:B10"/>
  </mergeCells>
  <phoneticPr fontId="4" type="noConversion"/>
  <conditionalFormatting sqref="C16 D12:H12">
    <cfRule type="cellIs" dxfId="0" priority="1" stopIfTrue="1" operator="equal">
      <formula>""</formula>
    </cfRule>
  </conditionalFormatting>
  <hyperlinks>
    <hyperlink ref="B2" r:id="rId1"/>
  </hyperlinks>
  <pageMargins left="0.75" right="0.75" top="1" bottom="1" header="0" footer="0"/>
  <pageSetup orientation="portrait" r:id="rId2"/>
  <headerFooter alignWithMargins="0"/>
  <ignoredErrors>
    <ignoredError sqref="C16 H12 D12:G12" unlockedFormula="1"/>
    <ignoredError sqref="C19" formulaRange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Presupuestos</vt:lpstr>
      <vt:lpstr>Plan de Inversión</vt:lpstr>
      <vt:lpstr>VAN y TIR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VAN y TIR</dc:title>
  <dc:creator>SinElefantesBlancos.com.ar</dc:creator>
  <cp:keywords>VAN y TIR</cp:keywords>
  <cp:lastModifiedBy>Guillermo Gonzalez</cp:lastModifiedBy>
  <cp:lastPrinted>2011-06-23T01:32:17Z</cp:lastPrinted>
  <dcterms:created xsi:type="dcterms:W3CDTF">2005-10-17T18:40:03Z</dcterms:created>
  <dcterms:modified xsi:type="dcterms:W3CDTF">2016-04-23T15:16:42Z</dcterms:modified>
</cp:coreProperties>
</file>