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AL41" sheetId="2" r:id="rId1"/>
  </sheets>
  <calcPr calcId="125725"/>
</workbook>
</file>

<file path=xl/calcChain.xml><?xml version="1.0" encoding="utf-8"?>
<calcChain xmlns="http://schemas.openxmlformats.org/spreadsheetml/2006/main">
  <c r="K66" i="2"/>
  <c r="K58"/>
  <c r="K60"/>
  <c r="F51"/>
  <c r="N5"/>
  <c r="N23"/>
  <c r="N22"/>
  <c r="N21"/>
  <c r="K53"/>
  <c r="F53"/>
  <c r="C55"/>
  <c r="J102"/>
  <c r="J100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58"/>
  <c r="K62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N14" l="1"/>
  <c r="D8"/>
  <c r="F8" s="1"/>
  <c r="N19"/>
  <c r="D9"/>
  <c r="F9" s="1"/>
  <c r="E48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21"/>
  <c r="N17"/>
  <c r="N18"/>
  <c r="A8"/>
  <c r="G9"/>
  <c r="D10" s="1"/>
  <c r="F10" s="1"/>
  <c r="G10" l="1"/>
  <c r="E49"/>
  <c r="A9"/>
  <c r="G11" l="1"/>
  <c r="D11"/>
  <c r="A10"/>
  <c r="N9"/>
  <c r="N7" s="1"/>
  <c r="G12" l="1"/>
  <c r="D12"/>
  <c r="F12" s="1"/>
  <c r="F11"/>
  <c r="A11"/>
  <c r="N11"/>
  <c r="N15" s="1"/>
  <c r="A12" l="1"/>
  <c r="G13"/>
  <c r="D13"/>
  <c r="N16"/>
  <c r="A13" l="1"/>
  <c r="G14"/>
  <c r="D14"/>
  <c r="F14" s="1"/>
  <c r="F13"/>
  <c r="A14" l="1"/>
  <c r="G15"/>
  <c r="D15"/>
  <c r="F15" s="1"/>
  <c r="G16" l="1"/>
  <c r="D16"/>
  <c r="F16" s="1"/>
  <c r="A15"/>
  <c r="A16" l="1"/>
  <c r="G17"/>
  <c r="D17"/>
  <c r="A17" l="1"/>
  <c r="G18"/>
  <c r="D18"/>
  <c r="F18" s="1"/>
  <c r="F17"/>
  <c r="A18" l="1"/>
  <c r="G19"/>
  <c r="D19"/>
  <c r="F19" s="1"/>
  <c r="A19" l="1"/>
  <c r="G20"/>
  <c r="D20"/>
  <c r="F20" s="1"/>
  <c r="G21" l="1"/>
  <c r="D21"/>
  <c r="F21" s="1"/>
  <c r="A20"/>
  <c r="G22" l="1"/>
  <c r="D22"/>
  <c r="F22" s="1"/>
  <c r="A21"/>
  <c r="G23" l="1"/>
  <c r="D23"/>
  <c r="F23" s="1"/>
  <c r="A22"/>
  <c r="G24" l="1"/>
  <c r="D24"/>
  <c r="F24" s="1"/>
  <c r="A23"/>
  <c r="A24" l="1"/>
  <c r="A25" s="1"/>
  <c r="D25"/>
  <c r="F25" s="1"/>
  <c r="G25"/>
  <c r="A26" l="1"/>
  <c r="G26"/>
  <c r="D26"/>
  <c r="F26" s="1"/>
  <c r="A27" l="1"/>
  <c r="G27"/>
  <c r="D27"/>
  <c r="F27" s="1"/>
  <c r="A28" l="1"/>
  <c r="G28"/>
  <c r="D28"/>
  <c r="F28" s="1"/>
  <c r="A29" l="1"/>
  <c r="G29"/>
  <c r="D29"/>
  <c r="F29" s="1"/>
  <c r="A30" l="1"/>
  <c r="G30"/>
  <c r="D30"/>
  <c r="F30" s="1"/>
  <c r="A31" l="1"/>
  <c r="G31"/>
  <c r="D31"/>
  <c r="F31" s="1"/>
  <c r="A32" l="1"/>
  <c r="G32"/>
  <c r="D32"/>
  <c r="F32" s="1"/>
  <c r="A33" l="1"/>
  <c r="G33"/>
  <c r="D33"/>
  <c r="F33" s="1"/>
  <c r="A34" l="1"/>
  <c r="G34"/>
  <c r="D34"/>
  <c r="F34" s="1"/>
  <c r="A35" l="1"/>
  <c r="G35"/>
  <c r="D35"/>
  <c r="F35" s="1"/>
  <c r="A36" l="1"/>
  <c r="G36"/>
  <c r="D36"/>
  <c r="F36" s="1"/>
  <c r="A37" l="1"/>
  <c r="G37"/>
  <c r="D37"/>
  <c r="F37" s="1"/>
  <c r="A38" l="1"/>
  <c r="G38"/>
  <c r="D38"/>
  <c r="F38" s="1"/>
  <c r="A39" l="1"/>
  <c r="G39"/>
  <c r="D39"/>
  <c r="F39" s="1"/>
  <c r="A40" l="1"/>
  <c r="G40"/>
  <c r="D40"/>
  <c r="F40" s="1"/>
  <c r="A41" l="1"/>
  <c r="G41"/>
  <c r="D41"/>
  <c r="F41" s="1"/>
  <c r="A42" l="1"/>
  <c r="G42"/>
  <c r="D42"/>
  <c r="F42" s="1"/>
  <c r="A43" l="1"/>
  <c r="G43"/>
  <c r="D43"/>
  <c r="F43" s="1"/>
  <c r="A44" l="1"/>
  <c r="G44"/>
  <c r="D44"/>
  <c r="F44" s="1"/>
  <c r="A45" l="1"/>
  <c r="G45"/>
  <c r="D45"/>
  <c r="F45" s="1"/>
  <c r="A46" l="1"/>
  <c r="G46"/>
  <c r="D46"/>
  <c r="F46" s="1"/>
  <c r="A47" l="1"/>
  <c r="G47"/>
  <c r="D47"/>
  <c r="F47" s="1"/>
  <c r="A48" l="1"/>
  <c r="G48"/>
  <c r="D48"/>
  <c r="D49" s="1"/>
  <c r="F48" l="1"/>
  <c r="K48" l="1"/>
  <c r="N12"/>
  <c r="F49"/>
  <c r="K8" l="1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N20"/>
  <c r="N30"/>
  <c r="F52"/>
  <c r="H8" s="1"/>
  <c r="I8" s="1"/>
  <c r="P17"/>
  <c r="N29"/>
  <c r="K51" l="1"/>
  <c r="B61"/>
  <c r="E61" s="1"/>
  <c r="B65"/>
  <c r="E65" s="1"/>
  <c r="B69"/>
  <c r="E69" s="1"/>
  <c r="B73"/>
  <c r="E73" s="1"/>
  <c r="B77"/>
  <c r="E77" s="1"/>
  <c r="B81"/>
  <c r="E81" s="1"/>
  <c r="B85"/>
  <c r="E85" s="1"/>
  <c r="B89"/>
  <c r="E89" s="1"/>
  <c r="B93"/>
  <c r="E93" s="1"/>
  <c r="B97"/>
  <c r="E97" s="1"/>
  <c r="H48"/>
  <c r="I48" s="1"/>
  <c r="J48" s="1"/>
  <c r="B59"/>
  <c r="E59" s="1"/>
  <c r="B63"/>
  <c r="E63" s="1"/>
  <c r="B67"/>
  <c r="E67" s="1"/>
  <c r="B71"/>
  <c r="E71" s="1"/>
  <c r="B75"/>
  <c r="E75" s="1"/>
  <c r="B79"/>
  <c r="E79" s="1"/>
  <c r="B83"/>
  <c r="E83" s="1"/>
  <c r="B87"/>
  <c r="E87" s="1"/>
  <c r="B91"/>
  <c r="E91" s="1"/>
  <c r="B95"/>
  <c r="E95" s="1"/>
  <c r="B58"/>
  <c r="E58" s="1"/>
  <c r="B62"/>
  <c r="E62" s="1"/>
  <c r="B66"/>
  <c r="E66" s="1"/>
  <c r="B74"/>
  <c r="E74" s="1"/>
  <c r="B82"/>
  <c r="E82" s="1"/>
  <c r="B86"/>
  <c r="E86" s="1"/>
  <c r="B94"/>
  <c r="E94" s="1"/>
  <c r="B60"/>
  <c r="E60" s="1"/>
  <c r="B64"/>
  <c r="E64" s="1"/>
  <c r="B68"/>
  <c r="E68" s="1"/>
  <c r="B72"/>
  <c r="E72" s="1"/>
  <c r="B76"/>
  <c r="E76" s="1"/>
  <c r="B80"/>
  <c r="E80" s="1"/>
  <c r="B84"/>
  <c r="E84" s="1"/>
  <c r="B88"/>
  <c r="E88" s="1"/>
  <c r="B92"/>
  <c r="E92" s="1"/>
  <c r="B96"/>
  <c r="E96" s="1"/>
  <c r="B70"/>
  <c r="E70" s="1"/>
  <c r="B78"/>
  <c r="E78" s="1"/>
  <c r="B90"/>
  <c r="E90" s="1"/>
  <c r="B98"/>
  <c r="E98" s="1"/>
  <c r="H9"/>
  <c r="I9" s="1"/>
  <c r="J9" s="1"/>
  <c r="Q17"/>
  <c r="P18"/>
  <c r="Q18" s="1"/>
  <c r="P16"/>
  <c r="H24"/>
  <c r="I24" s="1"/>
  <c r="J24" s="1"/>
  <c r="H17"/>
  <c r="I17" s="1"/>
  <c r="J17" s="1"/>
  <c r="H19"/>
  <c r="I19" s="1"/>
  <c r="J19" s="1"/>
  <c r="H15"/>
  <c r="I15" s="1"/>
  <c r="J15" s="1"/>
  <c r="H13"/>
  <c r="I13" s="1"/>
  <c r="J13" s="1"/>
  <c r="H20"/>
  <c r="I20" s="1"/>
  <c r="J20" s="1"/>
  <c r="H16"/>
  <c r="I16" s="1"/>
  <c r="J16" s="1"/>
  <c r="H12"/>
  <c r="I12" s="1"/>
  <c r="J12" s="1"/>
  <c r="H11"/>
  <c r="I11" s="1"/>
  <c r="J11" s="1"/>
  <c r="H25"/>
  <c r="I25" s="1"/>
  <c r="J25" s="1"/>
  <c r="H22"/>
  <c r="I22" s="1"/>
  <c r="J22" s="1"/>
  <c r="H23"/>
  <c r="I23" s="1"/>
  <c r="J23" s="1"/>
  <c r="H18"/>
  <c r="I18" s="1"/>
  <c r="J18" s="1"/>
  <c r="H10"/>
  <c r="I10" s="1"/>
  <c r="J10" s="1"/>
  <c r="H21"/>
  <c r="I21" s="1"/>
  <c r="J21" s="1"/>
  <c r="H14"/>
  <c r="I14" s="1"/>
  <c r="J14" s="1"/>
  <c r="H26"/>
  <c r="I26" s="1"/>
  <c r="J26" s="1"/>
  <c r="H27"/>
  <c r="I27" s="1"/>
  <c r="J27" s="1"/>
  <c r="H28"/>
  <c r="I28" s="1"/>
  <c r="J28" s="1"/>
  <c r="H29"/>
  <c r="I29" s="1"/>
  <c r="J29" s="1"/>
  <c r="H30"/>
  <c r="I30" s="1"/>
  <c r="J30" s="1"/>
  <c r="H31"/>
  <c r="I31" s="1"/>
  <c r="J31" s="1"/>
  <c r="H32"/>
  <c r="I32" s="1"/>
  <c r="J32" s="1"/>
  <c r="H33"/>
  <c r="I33" s="1"/>
  <c r="J33" s="1"/>
  <c r="H34"/>
  <c r="I34" s="1"/>
  <c r="J34" s="1"/>
  <c r="H35"/>
  <c r="I35" s="1"/>
  <c r="J35" s="1"/>
  <c r="H36"/>
  <c r="I36" s="1"/>
  <c r="J36" s="1"/>
  <c r="H37"/>
  <c r="I37" s="1"/>
  <c r="J37" s="1"/>
  <c r="H38"/>
  <c r="I38" s="1"/>
  <c r="J38" s="1"/>
  <c r="H39"/>
  <c r="I39" s="1"/>
  <c r="J39" s="1"/>
  <c r="H40"/>
  <c r="I40" s="1"/>
  <c r="J40" s="1"/>
  <c r="H41"/>
  <c r="I41" s="1"/>
  <c r="J41" s="1"/>
  <c r="H42"/>
  <c r="I42" s="1"/>
  <c r="J42" s="1"/>
  <c r="H43"/>
  <c r="I43" s="1"/>
  <c r="J43" s="1"/>
  <c r="H44"/>
  <c r="I44" s="1"/>
  <c r="J44" s="1"/>
  <c r="H45"/>
  <c r="I45" s="1"/>
  <c r="J45" s="1"/>
  <c r="H46"/>
  <c r="I46" s="1"/>
  <c r="J46" s="1"/>
  <c r="H47"/>
  <c r="I47" s="1"/>
  <c r="J47" s="1"/>
  <c r="F56" l="1"/>
  <c r="J8"/>
  <c r="J51" s="1"/>
  <c r="P15"/>
  <c r="Q16"/>
  <c r="P19"/>
  <c r="I51"/>
  <c r="R15" l="1"/>
  <c r="P14"/>
  <c r="Q15"/>
  <c r="P20"/>
  <c r="R20" s="1"/>
  <c r="Q19"/>
  <c r="N24" l="1"/>
  <c r="R17"/>
  <c r="R23"/>
  <c r="R16"/>
  <c r="R19"/>
  <c r="R18"/>
  <c r="R14"/>
  <c r="P13"/>
  <c r="R13" s="1"/>
  <c r="Q14"/>
  <c r="P21"/>
  <c r="R21" s="1"/>
  <c r="Q20"/>
  <c r="P12" l="1"/>
  <c r="R12" s="1"/>
  <c r="Q13"/>
  <c r="Q21"/>
  <c r="P11" l="1"/>
  <c r="Q12"/>
  <c r="R11" l="1"/>
  <c r="P10"/>
  <c r="Q11"/>
  <c r="R10" l="1"/>
  <c r="P9"/>
  <c r="Q10"/>
  <c r="R9" l="1"/>
  <c r="P8"/>
  <c r="Q9"/>
  <c r="R8" l="1"/>
  <c r="P7"/>
  <c r="R7" s="1"/>
  <c r="Q8"/>
  <c r="Q7" l="1"/>
</calcChain>
</file>

<file path=xl/comments1.xml><?xml version="1.0" encoding="utf-8"?>
<comments xmlns="http://schemas.openxmlformats.org/spreadsheetml/2006/main">
  <authors>
    <author>Guillermo Gonzalez</author>
  </authors>
  <commentList>
    <comment ref="F7" authorId="0">
      <text>
        <r>
          <rPr>
            <b/>
            <sz val="9"/>
            <color indexed="81"/>
            <rFont val="Tahoma"/>
            <charset val="1"/>
          </rPr>
          <t>Precio en dólares (que pago, por eso está en negativo)</t>
        </r>
      </text>
    </comment>
    <comment ref="N30" authorId="0">
      <text>
        <r>
          <rPr>
            <b/>
            <sz val="9"/>
            <color indexed="81"/>
            <rFont val="Tahoma"/>
            <family val="2"/>
          </rPr>
          <t>No coincide porque la fórmula sirve si es un bono que amortiza totalmente al vencimiento</t>
        </r>
      </text>
    </comment>
  </commentList>
</comments>
</file>

<file path=xl/sharedStrings.xml><?xml version="1.0" encoding="utf-8"?>
<sst xmlns="http://schemas.openxmlformats.org/spreadsheetml/2006/main" count="74" uniqueCount="70">
  <si>
    <t>TIR</t>
  </si>
  <si>
    <t>Fecha</t>
  </si>
  <si>
    <t>Renta</t>
  </si>
  <si>
    <t>Amort.</t>
  </si>
  <si>
    <t>Cupón</t>
  </si>
  <si>
    <t>Total</t>
  </si>
  <si>
    <t>ESPECIE:</t>
  </si>
  <si>
    <t>VN</t>
  </si>
  <si>
    <t>INTERÉS SEMESTRAL</t>
  </si>
  <si>
    <t>CUPONES PENDIENTES</t>
  </si>
  <si>
    <t>ANÁLISIS DE UN TÍTULO PÚBLICO</t>
  </si>
  <si>
    <t>Fecha de valuación</t>
  </si>
  <si>
    <t>Fecha de vencimiento</t>
  </si>
  <si>
    <t>Intereses Corridos</t>
  </si>
  <si>
    <t>Valor Residual</t>
  </si>
  <si>
    <t>TIR nominal</t>
  </si>
  <si>
    <t>Fact. De VA</t>
  </si>
  <si>
    <t>VA de Cash Flow</t>
  </si>
  <si>
    <t>VA CF x T</t>
  </si>
  <si>
    <t>SUMAS=</t>
  </si>
  <si>
    <t>Duración semestral</t>
  </si>
  <si>
    <t>Duración anual (Duration)</t>
  </si>
  <si>
    <t>Tasa que le exijo =</t>
  </si>
  <si>
    <t>Duración modificada</t>
  </si>
  <si>
    <t>=&gt; por cada</t>
  </si>
  <si>
    <t>TIR Semestral</t>
  </si>
  <si>
    <t>La amort. Anticipada la hace menos riesgosa</t>
  </si>
  <si>
    <t>Sensibilidad</t>
  </si>
  <si>
    <t>Pronóstico de Duration modificada</t>
  </si>
  <si>
    <t>PRECIO VNA Real</t>
  </si>
  <si>
    <t>Precio limpio</t>
  </si>
  <si>
    <t>Valor Técnico</t>
  </si>
  <si>
    <t>Paridad</t>
  </si>
  <si>
    <t>FECHA:</t>
  </si>
  <si>
    <t>Fecha del último cupón pago</t>
  </si>
  <si>
    <t>Si era Bono Bullet era más simple con fórmula de excel:</t>
  </si>
  <si>
    <t>Duración modificada (DM)</t>
  </si>
  <si>
    <t>(menor DM)</t>
  </si>
  <si>
    <t>https://www.bolsar.com/Vistas/Investigaciones/FichaTecnicaEspecie.aspx?Id=810348&amp;UrlVolver=https://www.bolsar.com/VistasDL/PaginaPrincipal.aspx</t>
  </si>
  <si>
    <t>TIR (anual)</t>
  </si>
  <si>
    <t>Precio que tendría que tener si TIR fuera la que exijo</t>
  </si>
  <si>
    <t>AL41D Precio</t>
  </si>
  <si>
    <t>AL41</t>
  </si>
  <si>
    <t>TNA</t>
  </si>
  <si>
    <t>Interés corriente (Yield anual o current yield)</t>
  </si>
  <si>
    <t>VF T x (A+R) / Suma (A+R)</t>
  </si>
  <si>
    <t>Tiempo (semestral)</t>
  </si>
  <si>
    <t>Tiempo</t>
  </si>
  <si>
    <t>A + R</t>
  </si>
  <si>
    <t>(1+ TIR ) ^t</t>
  </si>
  <si>
    <t>Precio</t>
  </si>
  <si>
    <t>t x (A + R) / (1+ TIR ) ^t / P</t>
  </si>
  <si>
    <t>Duration</t>
  </si>
  <si>
    <t>1% la TIR</t>
  </si>
  <si>
    <t>que baja o sube la tir x</t>
  </si>
  <si>
    <t>INTERÉS (TNA) en fecha 03/02/2021</t>
  </si>
  <si>
    <t>Volatilidad</t>
  </si>
  <si>
    <t>Cierre</t>
  </si>
  <si>
    <t>DESVÍO ANUALIZADO</t>
  </si>
  <si>
    <t>PPV (Promedio Ponderado de Vida)=</t>
  </si>
  <si>
    <t>LN ( t / t-1 )</t>
  </si>
  <si>
    <t>( x - X )^2</t>
  </si>
  <si>
    <t>PROMEDIO (X)</t>
  </si>
  <si>
    <t>Desvío Estándar (Raíz cuadrada de varianza)</t>
  </si>
  <si>
    <t>DESVÍO ESTÁNDAR DIARIO</t>
  </si>
  <si>
    <t>Varianza</t>
  </si>
  <si>
    <t>es la varación del precio</t>
  </si>
  <si>
    <t>Sin Elefantes Blancos -&gt; Inversiones</t>
  </si>
  <si>
    <t>TIR nominal (anual)</t>
  </si>
  <si>
    <t>Con fórmula para una muestra</t>
  </si>
</sst>
</file>

<file path=xl/styles.xml><?xml version="1.0" encoding="utf-8"?>
<styleSheet xmlns="http://schemas.openxmlformats.org/spreadsheetml/2006/main">
  <numFmts count="16">
    <numFmt numFmtId="8" formatCode="&quot;$&quot;\ #,##0.00;[Red]&quot;$&quot;\ \-#,##0.00"/>
    <numFmt numFmtId="43" formatCode="_ * #,##0.00_ ;_ * \-#,##0.00_ ;_ * &quot;-&quot;??_ ;_ @_ "/>
    <numFmt numFmtId="164" formatCode="dd/mm/yyyy;@"/>
    <numFmt numFmtId="165" formatCode="0.000%"/>
    <numFmt numFmtId="166" formatCode="0.0000%"/>
    <numFmt numFmtId="167" formatCode="&quot;$&quot;\ #,##0.00000"/>
    <numFmt numFmtId="168" formatCode="0.000"/>
    <numFmt numFmtId="169" formatCode="0.0000"/>
    <numFmt numFmtId="170" formatCode="0.000000%"/>
    <numFmt numFmtId="171" formatCode="0.00000"/>
    <numFmt numFmtId="172" formatCode="_ * #,##0.000_ ;_ * \-#,##0.000_ ;_ * &quot;-&quot;??_ ;_ @_ "/>
    <numFmt numFmtId="173" formatCode="_ * #,##0.0000_ ;_ * \-#,##0.0000_ ;_ * &quot;-&quot;??_ ;_ @_ "/>
    <numFmt numFmtId="174" formatCode="_ * #,##0.0000000_ ;_ * \-#,##0.0000000_ ;_ * &quot;-&quot;??_ ;_ @_ "/>
    <numFmt numFmtId="175" formatCode="#,##0.0000000_ ;\-#,##0.0000000\ "/>
    <numFmt numFmtId="176" formatCode="0.00000%"/>
    <numFmt numFmtId="179" formatCode="0.000000000"/>
  </numFmts>
  <fonts count="2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2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theme="0"/>
      <name val="Cambria"/>
      <family val="1"/>
      <scheme val="maj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u/>
      <sz val="11"/>
      <color theme="10"/>
      <name val="Calibri"/>
      <family val="2"/>
    </font>
    <font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26"/>
      <color theme="1"/>
      <name val="Cambria"/>
      <family val="1"/>
      <scheme val="major"/>
    </font>
    <font>
      <u/>
      <sz val="11"/>
      <color theme="10"/>
      <name val="Cambria"/>
      <family val="1"/>
      <scheme val="major"/>
    </font>
    <font>
      <b/>
      <sz val="6"/>
      <name val="Cambria"/>
      <family val="1"/>
      <scheme val="major"/>
    </font>
    <font>
      <b/>
      <sz val="6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4"/>
      <color rgb="FFFFFF00"/>
      <name val="Cambria"/>
      <family val="1"/>
      <scheme val="maj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55">
    <xf numFmtId="0" fontId="0" fillId="0" borderId="0" xfId="0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10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2" fontId="1" fillId="5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4" fillId="8" borderId="0" xfId="0" applyNumberFormat="1" applyFont="1" applyFill="1" applyAlignment="1">
      <alignment vertical="center"/>
    </xf>
    <xf numFmtId="167" fontId="4" fillId="8" borderId="0" xfId="0" applyNumberFormat="1" applyFont="1" applyFill="1" applyAlignment="1">
      <alignment vertical="center"/>
    </xf>
    <xf numFmtId="0" fontId="1" fillId="7" borderId="6" xfId="0" applyFont="1" applyFill="1" applyBorder="1" applyAlignment="1">
      <alignment horizontal="left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left" vertical="center"/>
    </xf>
    <xf numFmtId="0" fontId="1" fillId="7" borderId="9" xfId="0" applyFont="1" applyFill="1" applyBorder="1" applyAlignment="1">
      <alignment vertical="center"/>
    </xf>
    <xf numFmtId="9" fontId="1" fillId="0" borderId="0" xfId="0" applyNumberFormat="1" applyFont="1" applyAlignment="1">
      <alignment horizontal="center" vertical="center"/>
    </xf>
    <xf numFmtId="8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0" fontId="4" fillId="8" borderId="0" xfId="0" applyFont="1" applyFill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68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8" fontId="1" fillId="0" borderId="0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5" borderId="12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5" borderId="11" xfId="0" applyNumberFormat="1" applyFont="1" applyFill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166" fontId="1" fillId="5" borderId="10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0" fontId="1" fillId="0" borderId="14" xfId="3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22" xfId="0" applyNumberFormat="1" applyFont="1" applyFill="1" applyBorder="1" applyAlignment="1">
      <alignment horizontal="center" vertical="center"/>
    </xf>
    <xf numFmtId="168" fontId="1" fillId="0" borderId="22" xfId="0" applyNumberFormat="1" applyFont="1" applyFill="1" applyBorder="1" applyAlignment="1">
      <alignment horizontal="center" vertical="center"/>
    </xf>
    <xf numFmtId="168" fontId="1" fillId="0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" fillId="10" borderId="21" xfId="0" applyFont="1" applyFill="1" applyBorder="1" applyAlignment="1">
      <alignment vertical="center"/>
    </xf>
    <xf numFmtId="10" fontId="1" fillId="10" borderId="21" xfId="0" applyNumberFormat="1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vertical="center"/>
    </xf>
    <xf numFmtId="2" fontId="1" fillId="10" borderId="2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horizontal="center" vertical="center"/>
    </xf>
    <xf numFmtId="171" fontId="1" fillId="0" borderId="20" xfId="0" applyNumberFormat="1" applyFont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73" fontId="1" fillId="0" borderId="12" xfId="2" applyNumberFormat="1" applyFont="1" applyBorder="1" applyAlignment="1">
      <alignment horizontal="center" vertical="center"/>
    </xf>
    <xf numFmtId="166" fontId="1" fillId="6" borderId="6" xfId="0" applyNumberFormat="1" applyFont="1" applyFill="1" applyBorder="1" applyAlignment="1">
      <alignment horizontal="center" vertical="center"/>
    </xf>
    <xf numFmtId="166" fontId="1" fillId="12" borderId="6" xfId="0" applyNumberFormat="1" applyFont="1" applyFill="1" applyBorder="1" applyAlignment="1">
      <alignment horizontal="center" vertical="center"/>
    </xf>
    <xf numFmtId="166" fontId="1" fillId="6" borderId="4" xfId="0" applyNumberFormat="1" applyFont="1" applyFill="1" applyBorder="1" applyAlignment="1">
      <alignment horizontal="center" vertical="center"/>
    </xf>
    <xf numFmtId="166" fontId="1" fillId="6" borderId="8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2" fontId="1" fillId="0" borderId="0" xfId="2" applyNumberFormat="1" applyFont="1" applyAlignment="1">
      <alignment vertical="center"/>
    </xf>
    <xf numFmtId="169" fontId="1" fillId="4" borderId="0" xfId="0" applyNumberFormat="1" applyFont="1" applyFill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5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74" fontId="4" fillId="0" borderId="0" xfId="2" applyNumberFormat="1" applyFont="1" applyFill="1" applyAlignment="1">
      <alignment horizontal="center" vertical="center"/>
    </xf>
    <xf numFmtId="175" fontId="4" fillId="8" borderId="0" xfId="2" applyNumberFormat="1" applyFont="1" applyFill="1" applyAlignment="1">
      <alignment horizontal="center" vertical="center"/>
    </xf>
    <xf numFmtId="8" fontId="1" fillId="6" borderId="4" xfId="0" applyNumberFormat="1" applyFont="1" applyFill="1" applyBorder="1" applyAlignment="1">
      <alignment horizontal="center" vertical="center"/>
    </xf>
    <xf numFmtId="8" fontId="1" fillId="6" borderId="6" xfId="0" applyNumberFormat="1" applyFont="1" applyFill="1" applyBorder="1" applyAlignment="1">
      <alignment horizontal="center" vertical="center"/>
    </xf>
    <xf numFmtId="8" fontId="1" fillId="12" borderId="6" xfId="0" applyNumberFormat="1" applyFont="1" applyFill="1" applyBorder="1" applyAlignment="1">
      <alignment horizontal="center" vertical="center"/>
    </xf>
    <xf numFmtId="8" fontId="1" fillId="6" borderId="8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1" fontId="1" fillId="0" borderId="6" xfId="0" applyNumberFormat="1" applyFont="1" applyBorder="1" applyAlignment="1">
      <alignment horizontal="center" vertical="center"/>
    </xf>
    <xf numFmtId="2" fontId="1" fillId="0" borderId="0" xfId="3" applyNumberFormat="1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1" fillId="0" borderId="0" xfId="3" applyNumberFormat="1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2" fontId="1" fillId="11" borderId="13" xfId="0" applyNumberFormat="1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14" fontId="14" fillId="0" borderId="21" xfId="0" applyNumberFormat="1" applyFont="1" applyFill="1" applyBorder="1" applyAlignment="1">
      <alignment horizontal="center" vertical="center"/>
    </xf>
    <xf numFmtId="165" fontId="14" fillId="0" borderId="21" xfId="3" applyNumberFormat="1" applyFont="1" applyFill="1" applyBorder="1" applyAlignment="1">
      <alignment horizontal="center" vertical="center"/>
    </xf>
    <xf numFmtId="165" fontId="14" fillId="0" borderId="0" xfId="3" applyNumberFormat="1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9" fillId="0" borderId="21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65" fontId="18" fillId="0" borderId="14" xfId="0" applyNumberFormat="1" applyFont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10" fontId="17" fillId="4" borderId="14" xfId="3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0" fontId="1" fillId="0" borderId="10" xfId="3" applyNumberFormat="1" applyFont="1" applyBorder="1" applyAlignment="1">
      <alignment horizontal="center" vertical="center"/>
    </xf>
    <xf numFmtId="2" fontId="14" fillId="0" borderId="0" xfId="3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5" fontId="14" fillId="0" borderId="0" xfId="3" applyNumberFormat="1" applyFont="1" applyFill="1" applyBorder="1" applyAlignment="1">
      <alignment horizontal="center" vertical="center"/>
    </xf>
    <xf numFmtId="0" fontId="4" fillId="13" borderId="27" xfId="0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6" fillId="0" borderId="0" xfId="1" applyFont="1" applyAlignment="1" applyProtection="1"/>
    <xf numFmtId="0" fontId="1" fillId="0" borderId="0" xfId="0" applyFont="1"/>
    <xf numFmtId="0" fontId="1" fillId="0" borderId="0" xfId="0" applyFont="1" applyFill="1" applyAlignment="1">
      <alignment horizontal="center" vertical="center" wrapText="1"/>
    </xf>
    <xf numFmtId="174" fontId="4" fillId="8" borderId="0" xfId="2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20" fillId="14" borderId="1" xfId="1" applyFont="1" applyFill="1" applyBorder="1" applyAlignment="1" applyProtection="1">
      <alignment horizontal="center" vertical="center"/>
    </xf>
    <xf numFmtId="0" fontId="20" fillId="14" borderId="2" xfId="1" applyFont="1" applyFill="1" applyBorder="1" applyAlignment="1" applyProtection="1">
      <alignment horizontal="center" vertical="center"/>
    </xf>
    <xf numFmtId="0" fontId="20" fillId="14" borderId="3" xfId="1" applyFont="1" applyFill="1" applyBorder="1" applyAlignment="1" applyProtection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179" fontId="18" fillId="0" borderId="14" xfId="0" applyNumberFormat="1" applyFont="1" applyBorder="1" applyAlignment="1">
      <alignment horizontal="center" vertical="center"/>
    </xf>
  </cellXfs>
  <cellStyles count="4">
    <cellStyle name="Hipervínculo" xfId="1" builtinId="8"/>
    <cellStyle name="Millares" xfId="2" builtinId="3"/>
    <cellStyle name="Normal" xfId="0" builtinId="0"/>
    <cellStyle name="Porcentual" xfId="3" builtinId="5"/>
  </cellStyles>
  <dxfs count="0"/>
  <tableStyles count="0" defaultTableStyle="TableStyleMedium9" defaultPivotStyle="PivotStyleLight16"/>
  <colors>
    <mruColors>
      <color rgb="FF003300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>
        <c:manualLayout>
          <c:layoutTarget val="inner"/>
          <c:xMode val="edge"/>
          <c:yMode val="edge"/>
          <c:x val="0.14708573928258969"/>
          <c:y val="9.6562255736841726E-2"/>
          <c:w val="0.54714001427850656"/>
          <c:h val="0.79872863854401399"/>
        </c:manualLayout>
      </c:layout>
      <c:scatterChart>
        <c:scatterStyle val="smoothMarker"/>
        <c:ser>
          <c:idx val="0"/>
          <c:order val="0"/>
          <c:tx>
            <c:strRef>
              <c:f>'AL41'!$Q$5</c:f>
              <c:strCache>
                <c:ptCount val="1"/>
                <c:pt idx="0">
                  <c:v>PRECIO VNA Real</c:v>
                </c:pt>
              </c:strCache>
            </c:strRef>
          </c:tx>
          <c:marker>
            <c:symbol val="none"/>
          </c:marker>
          <c:xVal>
            <c:numRef>
              <c:f>'AL41'!$P$7:$P$21</c:f>
              <c:numCache>
                <c:formatCode>0.0000%</c:formatCode>
                <c:ptCount val="15"/>
                <c:pt idx="0">
                  <c:v>6.137353777885441E-2</c:v>
                </c:pt>
                <c:pt idx="1">
                  <c:v>7.1373537778854412E-2</c:v>
                </c:pt>
                <c:pt idx="2">
                  <c:v>8.1373537778854407E-2</c:v>
                </c:pt>
                <c:pt idx="3">
                  <c:v>9.1373537778854402E-2</c:v>
                </c:pt>
                <c:pt idx="4">
                  <c:v>0.1013735377788544</c:v>
                </c:pt>
                <c:pt idx="5">
                  <c:v>0.11137353777885439</c:v>
                </c:pt>
                <c:pt idx="6">
                  <c:v>0.12137353777885439</c:v>
                </c:pt>
                <c:pt idx="7">
                  <c:v>0.13137353777885438</c:v>
                </c:pt>
                <c:pt idx="8">
                  <c:v>0.14137353777885439</c:v>
                </c:pt>
                <c:pt idx="9">
                  <c:v>0.1513735377788544</c:v>
                </c:pt>
                <c:pt idx="10">
                  <c:v>0.16137353777885441</c:v>
                </c:pt>
                <c:pt idx="11">
                  <c:v>0.17137353777885442</c:v>
                </c:pt>
                <c:pt idx="12">
                  <c:v>0.18137353777885443</c:v>
                </c:pt>
                <c:pt idx="13">
                  <c:v>0.19137353777885444</c:v>
                </c:pt>
                <c:pt idx="14">
                  <c:v>0.20137353777885444</c:v>
                </c:pt>
              </c:numCache>
            </c:numRef>
          </c:xVal>
          <c:yVal>
            <c:numRef>
              <c:f>'AL41'!$Q$7:$Q$21</c:f>
              <c:numCache>
                <c:formatCode>"$"\ #,##0.00;[Red]"$"\ \-#,##0.00</c:formatCode>
                <c:ptCount val="15"/>
                <c:pt idx="0">
                  <c:v>78.249816102094769</c:v>
                </c:pt>
                <c:pt idx="1">
                  <c:v>70.982560104519479</c:v>
                </c:pt>
                <c:pt idx="2">
                  <c:v>64.585501134478648</c:v>
                </c:pt>
                <c:pt idx="3">
                  <c:v>58.93813169651655</c:v>
                </c:pt>
                <c:pt idx="4">
                  <c:v>53.938459921263672</c:v>
                </c:pt>
                <c:pt idx="5">
                  <c:v>49.499925276680337</c:v>
                </c:pt>
                <c:pt idx="6">
                  <c:v>45.548863084049842</c:v>
                </c:pt>
                <c:pt idx="7">
                  <c:v>42.022414589287564</c:v>
                </c:pt>
                <c:pt idx="8">
                  <c:v>38.866799727641641</c:v>
                </c:pt>
                <c:pt idx="9">
                  <c:v>36.03588590539492</c:v>
                </c:pt>
                <c:pt idx="10">
                  <c:v>33.489999005860732</c:v>
                </c:pt>
                <c:pt idx="11">
                  <c:v>31.194933109210307</c:v>
                </c:pt>
                <c:pt idx="12">
                  <c:v>29.121123642916725</c:v>
                </c:pt>
                <c:pt idx="13">
                  <c:v>27.242955279310749</c:v>
                </c:pt>
                <c:pt idx="14">
                  <c:v>25.538181204169472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'AL41'!$R$5</c:f>
              <c:strCache>
                <c:ptCount val="1"/>
                <c:pt idx="0">
                  <c:v>Pronóstico de Duration modificada</c:v>
                </c:pt>
              </c:strCache>
            </c:strRef>
          </c:tx>
          <c:marker>
            <c:symbol val="none"/>
          </c:marker>
          <c:xVal>
            <c:numRef>
              <c:f>'AL41'!$P$7:$P$21</c:f>
              <c:numCache>
                <c:formatCode>0.0000%</c:formatCode>
                <c:ptCount val="15"/>
                <c:pt idx="0">
                  <c:v>6.137353777885441E-2</c:v>
                </c:pt>
                <c:pt idx="1">
                  <c:v>7.1373537778854412E-2</c:v>
                </c:pt>
                <c:pt idx="2">
                  <c:v>8.1373537778854407E-2</c:v>
                </c:pt>
                <c:pt idx="3">
                  <c:v>9.1373537778854402E-2</c:v>
                </c:pt>
                <c:pt idx="4">
                  <c:v>0.1013735377788544</c:v>
                </c:pt>
                <c:pt idx="5">
                  <c:v>0.11137353777885439</c:v>
                </c:pt>
                <c:pt idx="6">
                  <c:v>0.12137353777885439</c:v>
                </c:pt>
                <c:pt idx="7">
                  <c:v>0.13137353777885438</c:v>
                </c:pt>
                <c:pt idx="8">
                  <c:v>0.14137353777885439</c:v>
                </c:pt>
                <c:pt idx="9">
                  <c:v>0.1513735377788544</c:v>
                </c:pt>
                <c:pt idx="10">
                  <c:v>0.16137353777885441</c:v>
                </c:pt>
                <c:pt idx="11">
                  <c:v>0.17137353777885442</c:v>
                </c:pt>
                <c:pt idx="12">
                  <c:v>0.18137353777885443</c:v>
                </c:pt>
                <c:pt idx="13">
                  <c:v>0.19137353777885444</c:v>
                </c:pt>
                <c:pt idx="14">
                  <c:v>0.20137353777885444</c:v>
                </c:pt>
              </c:numCache>
            </c:numRef>
          </c:xVal>
          <c:yVal>
            <c:numRef>
              <c:f>'AL41'!$R$7:$R$21</c:f>
              <c:numCache>
                <c:formatCode>General</c:formatCode>
                <c:ptCount val="15"/>
                <c:pt idx="0">
                  <c:v>59.521327770981316</c:v>
                </c:pt>
                <c:pt idx="1">
                  <c:v>56.918194894469252</c:v>
                </c:pt>
                <c:pt idx="2">
                  <c:v>54.315062017957189</c:v>
                </c:pt>
                <c:pt idx="3">
                  <c:v>51.71192914144514</c:v>
                </c:pt>
                <c:pt idx="4">
                  <c:v>49.108796264933076</c:v>
                </c:pt>
                <c:pt idx="5">
                  <c:v>46.505663388421027</c:v>
                </c:pt>
                <c:pt idx="6">
                  <c:v>43.902530511908964</c:v>
                </c:pt>
                <c:pt idx="7">
                  <c:v>41.299397635396915</c:v>
                </c:pt>
                <c:pt idx="8">
                  <c:v>38.696264758884851</c:v>
                </c:pt>
                <c:pt idx="9">
                  <c:v>36.093131882372788</c:v>
                </c:pt>
                <c:pt idx="10" formatCode="0.00">
                  <c:v>33.489999005860732</c:v>
                </c:pt>
                <c:pt idx="11">
                  <c:v>30.886866129348672</c:v>
                </c:pt>
                <c:pt idx="12">
                  <c:v>28.283733252836612</c:v>
                </c:pt>
                <c:pt idx="13">
                  <c:v>25.680600376324552</c:v>
                </c:pt>
                <c:pt idx="14">
                  <c:v>23.077467499812492</c:v>
                </c:pt>
              </c:numCache>
            </c:numRef>
          </c:yVal>
          <c:smooth val="1"/>
        </c:ser>
        <c:axId val="143701120"/>
        <c:axId val="143702656"/>
      </c:scatterChart>
      <c:valAx>
        <c:axId val="143701120"/>
        <c:scaling>
          <c:orientation val="minMax"/>
          <c:max val="0.22"/>
          <c:min val="0.05"/>
        </c:scaling>
        <c:axPos val="b"/>
        <c:numFmt formatCode="0.00%" sourceLinked="0"/>
        <c:tickLblPos val="nextTo"/>
        <c:crossAx val="143702656"/>
        <c:crosses val="autoZero"/>
        <c:crossBetween val="midCat"/>
      </c:valAx>
      <c:valAx>
        <c:axId val="143702656"/>
        <c:scaling>
          <c:orientation val="minMax"/>
        </c:scaling>
        <c:axPos val="l"/>
        <c:majorGridlines/>
        <c:numFmt formatCode="&quot;$&quot;\ #,##0.00;[Red]&quot;$&quot;\ \-#,##0.00" sourceLinked="1"/>
        <c:tickLblPos val="nextTo"/>
        <c:crossAx val="143701120"/>
        <c:crosses val="autoZero"/>
        <c:crossBetween val="midCat"/>
      </c:valAx>
    </c:plotArea>
    <c:legend>
      <c:legendPos val="r"/>
      <c:layout/>
    </c:legend>
    <c:plotVisOnly val="1"/>
  </c:chart>
  <c:spPr>
    <a:solidFill>
      <a:schemeClr val="accent3">
        <a:lumMod val="20000"/>
        <a:lumOff val="80000"/>
      </a:schemeClr>
    </a:solidFill>
    <a:ln w="38100">
      <a:solidFill>
        <a:sysClr val="windowText" lastClr="000000"/>
      </a:solidFill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97690</xdr:colOff>
      <xdr:row>1</xdr:row>
      <xdr:rowOff>450271</xdr:rowOff>
    </xdr:from>
    <xdr:to>
      <xdr:col>24</xdr:col>
      <xdr:colOff>349276</xdr:colOff>
      <xdr:row>20</xdr:row>
      <xdr:rowOff>136261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405848</xdr:colOff>
      <xdr:row>26</xdr:row>
      <xdr:rowOff>57978</xdr:rowOff>
    </xdr:from>
    <xdr:to>
      <xdr:col>25</xdr:col>
      <xdr:colOff>58806</xdr:colOff>
      <xdr:row>31</xdr:row>
      <xdr:rowOff>126310</xdr:rowOff>
    </xdr:to>
    <xdr:pic>
      <xdr:nvPicPr>
        <xdr:cNvPr id="1077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43044" y="5557630"/>
          <a:ext cx="12126567" cy="1103658"/>
        </a:xfrm>
        <a:prstGeom prst="rect">
          <a:avLst/>
        </a:prstGeom>
        <a:ln w="228600" cap="sq" cmpd="thickThin">
          <a:solidFill>
            <a:srgbClr val="00B05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12</xdr:col>
      <xdr:colOff>447261</xdr:colOff>
      <xdr:row>36</xdr:row>
      <xdr:rowOff>57978</xdr:rowOff>
    </xdr:from>
    <xdr:to>
      <xdr:col>16</xdr:col>
      <xdr:colOff>498568</xdr:colOff>
      <xdr:row>60</xdr:row>
      <xdr:rowOff>89037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106978" y="7628282"/>
          <a:ext cx="5686425" cy="500062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inelefantesblancos.com.ar/inversiones/titulos-publicos.html" TargetMode="External"/><Relationship Id="rId1" Type="http://schemas.openxmlformats.org/officeDocument/2006/relationships/hyperlink" Target="https://www.bolsar.com/Vistas/Investigaciones/FichaTecnicaEspecie.aspx?Id=810348&amp;UrlVolver=https://www.bolsar.com/VistasDL/PaginaPrincipal.asp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50"/>
  <sheetViews>
    <sheetView showGridLines="0" tabSelected="1" zoomScale="121" zoomScaleNormal="121" workbookViewId="0">
      <selection activeCell="C4" sqref="C4"/>
    </sheetView>
  </sheetViews>
  <sheetFormatPr baseColWidth="10" defaultRowHeight="16.5" customHeight="1"/>
  <cols>
    <col min="1" max="1" width="13.5703125" style="1" bestFit="1" customWidth="1"/>
    <col min="2" max="2" width="12.7109375" style="7" bestFit="1" customWidth="1"/>
    <col min="3" max="3" width="16.28515625" style="7" bestFit="1" customWidth="1"/>
    <col min="4" max="4" width="11.5703125" style="7" bestFit="1" customWidth="1"/>
    <col min="5" max="5" width="20.140625" style="7" bestFit="1" customWidth="1"/>
    <col min="6" max="6" width="15.42578125" style="7" bestFit="1" customWidth="1"/>
    <col min="7" max="7" width="14.140625" style="7" customWidth="1"/>
    <col min="8" max="8" width="17.42578125" style="7" bestFit="1" customWidth="1"/>
    <col min="9" max="9" width="16.28515625" style="7" customWidth="1"/>
    <col min="10" max="10" width="14.140625" style="7" customWidth="1"/>
    <col min="11" max="11" width="18.5703125" style="7" bestFit="1" customWidth="1"/>
    <col min="12" max="12" width="4" style="1" customWidth="1"/>
    <col min="13" max="13" width="42.28515625" style="1" bestFit="1" customWidth="1"/>
    <col min="14" max="14" width="14.42578125" style="1" bestFit="1" customWidth="1"/>
    <col min="15" max="15" width="12.85546875" style="1" bestFit="1" customWidth="1"/>
    <col min="16" max="16" width="14.85546875" style="1" customWidth="1"/>
    <col min="17" max="17" width="24.28515625" style="1" bestFit="1" customWidth="1"/>
    <col min="18" max="18" width="32.85546875" style="1" bestFit="1" customWidth="1"/>
    <col min="19" max="19" width="4.7109375" style="1" bestFit="1" customWidth="1"/>
    <col min="20" max="20" width="7.140625" style="1" bestFit="1" customWidth="1"/>
    <col min="21" max="22" width="14.28515625" style="7" customWidth="1"/>
    <col min="23" max="23" width="32.85546875" style="7" bestFit="1" customWidth="1"/>
    <col min="24" max="30" width="14.28515625" style="7" customWidth="1"/>
    <col min="31" max="16384" width="11.42578125" style="1"/>
  </cols>
  <sheetData>
    <row r="1" spans="1:31" ht="7.5" customHeight="1" thickBot="1"/>
    <row r="2" spans="1:31" ht="36.75" customHeight="1" thickBot="1">
      <c r="A2" s="147" t="s">
        <v>67</v>
      </c>
      <c r="B2" s="148"/>
      <c r="C2" s="149"/>
      <c r="D2" s="130"/>
      <c r="E2" s="133" t="s">
        <v>10</v>
      </c>
      <c r="F2" s="134"/>
      <c r="G2" s="134"/>
      <c r="H2" s="134"/>
      <c r="I2" s="135"/>
      <c r="J2" s="129"/>
      <c r="K2" s="129"/>
      <c r="L2" s="129"/>
      <c r="M2" s="129"/>
    </row>
    <row r="3" spans="1:31" ht="16.5" customHeight="1" thickBot="1"/>
    <row r="4" spans="1:31" ht="15" thickBot="1">
      <c r="E4" s="29" t="s">
        <v>33</v>
      </c>
      <c r="F4" s="30">
        <v>44227</v>
      </c>
      <c r="G4" s="9" t="s">
        <v>6</v>
      </c>
      <c r="H4" s="5" t="s">
        <v>42</v>
      </c>
      <c r="J4" s="33"/>
      <c r="K4" s="33"/>
      <c r="M4" s="65" t="s">
        <v>22</v>
      </c>
      <c r="N4" s="66">
        <v>0.1</v>
      </c>
    </row>
    <row r="5" spans="1:31" ht="15" customHeight="1" thickBot="1">
      <c r="M5" s="67" t="s">
        <v>40</v>
      </c>
      <c r="N5" s="68">
        <f>-F7+XNPV(N4,F7:F48,B7:B48)</f>
        <v>54.590140788151771</v>
      </c>
      <c r="P5" s="151" t="s">
        <v>0</v>
      </c>
      <c r="Q5" s="151" t="s">
        <v>29</v>
      </c>
      <c r="R5" s="151" t="s">
        <v>28</v>
      </c>
      <c r="S5" s="146"/>
      <c r="T5" s="146"/>
      <c r="U5" s="146"/>
    </row>
    <row r="6" spans="1:31" s="7" customFormat="1" ht="16.5" customHeight="1" thickBot="1">
      <c r="A6" s="89" t="s">
        <v>46</v>
      </c>
      <c r="B6" s="43" t="s">
        <v>1</v>
      </c>
      <c r="C6" s="43" t="s">
        <v>43</v>
      </c>
      <c r="D6" s="17" t="s">
        <v>2</v>
      </c>
      <c r="E6" s="44" t="s">
        <v>3</v>
      </c>
      <c r="F6" s="41" t="s">
        <v>4</v>
      </c>
      <c r="G6" s="10" t="s">
        <v>14</v>
      </c>
      <c r="H6" s="43" t="s">
        <v>16</v>
      </c>
      <c r="I6" s="17" t="s">
        <v>17</v>
      </c>
      <c r="J6" s="37" t="s">
        <v>18</v>
      </c>
      <c r="K6" s="86" t="s">
        <v>45</v>
      </c>
      <c r="M6" s="64"/>
      <c r="N6" s="56"/>
      <c r="O6" s="1"/>
      <c r="P6" s="152"/>
      <c r="Q6" s="152"/>
      <c r="R6" s="153"/>
      <c r="S6" s="146"/>
      <c r="T6" s="146"/>
      <c r="U6" s="146"/>
      <c r="AE6" s="1"/>
    </row>
    <row r="7" spans="1:31" ht="16.5" customHeight="1">
      <c r="A7" s="2">
        <v>44078</v>
      </c>
      <c r="B7" s="11">
        <v>44230</v>
      </c>
      <c r="C7" s="75"/>
      <c r="D7" s="49"/>
      <c r="E7" s="50"/>
      <c r="F7" s="47">
        <v>-33.49</v>
      </c>
      <c r="G7" s="39">
        <v>100</v>
      </c>
      <c r="H7" s="43"/>
      <c r="I7" s="57"/>
      <c r="J7" s="58"/>
      <c r="K7" s="59"/>
      <c r="M7" s="1" t="s">
        <v>32</v>
      </c>
      <c r="N7" s="3">
        <f>-N9/N15</f>
        <v>0.33472682535771425</v>
      </c>
      <c r="P7" s="81">
        <f t="shared" ref="P7:P15" si="0">P8-0.01</f>
        <v>6.137353777885441E-2</v>
      </c>
      <c r="Q7" s="93">
        <f t="shared" ref="Q7:Q20" si="1">-$F$7+XNPV(P7,$F$7:$F$48,$B$7:$B$48)</f>
        <v>78.249816102094769</v>
      </c>
      <c r="R7" s="107">
        <f t="shared" ref="R7:R16" si="2">$Q$17+($Q$17*(($P$17-P7)*$N$23*100)/100)</f>
        <v>59.521327770981316</v>
      </c>
      <c r="S7" s="132"/>
      <c r="T7" s="132"/>
      <c r="U7" s="132"/>
      <c r="V7" s="103"/>
    </row>
    <row r="8" spans="1:31" ht="16.5" customHeight="1">
      <c r="A8" s="1">
        <f>(B8-B7)/180</f>
        <v>0.8666666666666667</v>
      </c>
      <c r="B8" s="12">
        <v>44386</v>
      </c>
      <c r="C8" s="74">
        <v>1.25E-3</v>
      </c>
      <c r="D8" s="78">
        <f>DAYS360(A7,B8)/360*C8*G7</f>
        <v>0.10590277777777779</v>
      </c>
      <c r="E8" s="51">
        <v>0</v>
      </c>
      <c r="F8" s="45">
        <f>D8+E8</f>
        <v>0.10590277777777779</v>
      </c>
      <c r="G8" s="40">
        <v>100</v>
      </c>
      <c r="H8" s="102">
        <f>(1+$F$52)^-A8</f>
        <v>0.93722852612465979</v>
      </c>
      <c r="I8" s="32">
        <f>H8*F8</f>
        <v>9.9255104329174046E-2</v>
      </c>
      <c r="J8" s="32">
        <f>I8*A8</f>
        <v>8.602109041861751E-2</v>
      </c>
      <c r="K8" s="61">
        <f>A8*F8/$F$49</f>
        <v>6.0048560257069722E-4</v>
      </c>
      <c r="M8" s="1" t="s">
        <v>7</v>
      </c>
      <c r="N8" s="1">
        <v>100</v>
      </c>
      <c r="P8" s="79">
        <f t="shared" si="0"/>
        <v>7.1373537778854412E-2</v>
      </c>
      <c r="Q8" s="94">
        <f t="shared" si="1"/>
        <v>70.982560104519479</v>
      </c>
      <c r="R8" s="108">
        <f>$Q$17+($Q$17*(($P$17-P8)*$N$23*100)/100)</f>
        <v>56.918194894469252</v>
      </c>
      <c r="S8" s="132"/>
      <c r="T8" s="132"/>
      <c r="U8" s="132"/>
      <c r="V8" s="103"/>
    </row>
    <row r="9" spans="1:31" ht="16.5" customHeight="1">
      <c r="A9" s="1">
        <f>1+A8</f>
        <v>1.8666666666666667</v>
      </c>
      <c r="B9" s="12">
        <v>44570</v>
      </c>
      <c r="C9" s="74">
        <v>2.5000000000000001E-2</v>
      </c>
      <c r="D9" s="78">
        <f t="shared" ref="D9:D48" si="3">C9/2*G8</f>
        <v>1.25</v>
      </c>
      <c r="E9" s="51">
        <v>0</v>
      </c>
      <c r="F9" s="45">
        <f t="shared" ref="F9:F48" si="4">D9+E9</f>
        <v>1.25</v>
      </c>
      <c r="G9" s="40">
        <f>G8-E9</f>
        <v>100</v>
      </c>
      <c r="H9" s="60">
        <f>(1+$F$52)^-A9</f>
        <v>0.8696801055907083</v>
      </c>
      <c r="I9" s="32">
        <f t="shared" ref="I9:I48" si="5">H9*F9</f>
        <v>1.0871001319883853</v>
      </c>
      <c r="J9" s="32">
        <f t="shared" ref="J9:J47" si="6">I9*A9</f>
        <v>2.0292535797116527</v>
      </c>
      <c r="K9" s="61">
        <f t="shared" ref="K9:K48" si="7">A9*F9/$F$49</f>
        <v>1.5265813048959968E-2</v>
      </c>
      <c r="M9" s="1" t="s">
        <v>41</v>
      </c>
      <c r="N9" s="31">
        <f>F7</f>
        <v>-33.49</v>
      </c>
      <c r="O9" s="7"/>
      <c r="P9" s="79">
        <f t="shared" si="0"/>
        <v>8.1373537778854407E-2</v>
      </c>
      <c r="Q9" s="94">
        <f t="shared" si="1"/>
        <v>64.585501134478648</v>
      </c>
      <c r="R9" s="108">
        <f>$Q$17+($Q$17*(($P$17-P9)*$N$23*100)/100)</f>
        <v>54.315062017957189</v>
      </c>
      <c r="S9" s="132"/>
      <c r="T9" s="132"/>
      <c r="U9" s="132"/>
      <c r="V9" s="103"/>
    </row>
    <row r="10" spans="1:31" ht="16.5" customHeight="1">
      <c r="A10" s="1">
        <f t="shared" ref="A10:A18" si="8">1+A9</f>
        <v>2.8666666666666667</v>
      </c>
      <c r="B10" s="12">
        <v>44751</v>
      </c>
      <c r="C10" s="74">
        <v>2.5000000000000001E-2</v>
      </c>
      <c r="D10" s="78">
        <f t="shared" si="3"/>
        <v>1.25</v>
      </c>
      <c r="E10" s="51">
        <v>0</v>
      </c>
      <c r="F10" s="45">
        <f t="shared" si="4"/>
        <v>1.25</v>
      </c>
      <c r="G10" s="40">
        <f t="shared" ref="G10:G48" si="9">G9-E10</f>
        <v>100</v>
      </c>
      <c r="H10" s="60">
        <f t="shared" ref="H10:H47" si="10">(1+$F$52)^-A10</f>
        <v>0.80700006986307316</v>
      </c>
      <c r="I10" s="32">
        <f t="shared" si="5"/>
        <v>1.0087500873288415</v>
      </c>
      <c r="J10" s="32">
        <f t="shared" si="6"/>
        <v>2.8917502503426791</v>
      </c>
      <c r="K10" s="61">
        <f t="shared" si="7"/>
        <v>2.3443927182331379E-2</v>
      </c>
      <c r="M10" s="1" t="s">
        <v>55</v>
      </c>
      <c r="N10" s="4">
        <v>1.25E-3</v>
      </c>
      <c r="P10" s="79">
        <f t="shared" si="0"/>
        <v>9.1373537778854402E-2</v>
      </c>
      <c r="Q10" s="94">
        <f t="shared" si="1"/>
        <v>58.93813169651655</v>
      </c>
      <c r="R10" s="108">
        <f t="shared" si="2"/>
        <v>51.71192914144514</v>
      </c>
      <c r="S10" s="132"/>
      <c r="T10" s="132"/>
      <c r="U10" s="132"/>
      <c r="V10" s="103"/>
    </row>
    <row r="11" spans="1:31" ht="16.5" customHeight="1">
      <c r="A11" s="1">
        <f t="shared" si="8"/>
        <v>3.8666666666666667</v>
      </c>
      <c r="B11" s="12">
        <v>44935</v>
      </c>
      <c r="C11" s="74">
        <v>3.5000000000000003E-2</v>
      </c>
      <c r="D11" s="78">
        <f t="shared" si="3"/>
        <v>1.7500000000000002</v>
      </c>
      <c r="E11" s="51">
        <v>0</v>
      </c>
      <c r="F11" s="45">
        <f t="shared" si="4"/>
        <v>1.7500000000000002</v>
      </c>
      <c r="G11" s="40">
        <f t="shared" si="9"/>
        <v>100</v>
      </c>
      <c r="H11" s="60">
        <f t="shared" si="10"/>
        <v>0.74883754218645748</v>
      </c>
      <c r="I11" s="32">
        <f t="shared" si="5"/>
        <v>1.3104656988263008</v>
      </c>
      <c r="J11" s="32">
        <f t="shared" si="6"/>
        <v>5.0671340354616969</v>
      </c>
      <c r="K11" s="61">
        <f t="shared" si="7"/>
        <v>4.427085784198391E-2</v>
      </c>
      <c r="M11" s="1" t="s">
        <v>8</v>
      </c>
      <c r="N11" s="4">
        <f>N10/2</f>
        <v>6.2500000000000001E-4</v>
      </c>
      <c r="P11" s="79">
        <f t="shared" si="0"/>
        <v>0.1013735377788544</v>
      </c>
      <c r="Q11" s="94">
        <f t="shared" si="1"/>
        <v>53.938459921263672</v>
      </c>
      <c r="R11" s="108">
        <f t="shared" si="2"/>
        <v>49.108796264933076</v>
      </c>
      <c r="S11" s="132"/>
      <c r="T11" s="132"/>
      <c r="U11" s="132"/>
      <c r="V11" s="103"/>
    </row>
    <row r="12" spans="1:31" ht="16.5" customHeight="1">
      <c r="A12" s="1">
        <f t="shared" si="8"/>
        <v>4.8666666666666671</v>
      </c>
      <c r="B12" s="12">
        <v>45116</v>
      </c>
      <c r="C12" s="74">
        <v>3.5000000000000003E-2</v>
      </c>
      <c r="D12" s="78">
        <f t="shared" si="3"/>
        <v>1.7500000000000002</v>
      </c>
      <c r="E12" s="51">
        <v>0</v>
      </c>
      <c r="F12" s="45">
        <f t="shared" si="4"/>
        <v>1.7500000000000002</v>
      </c>
      <c r="G12" s="40">
        <f t="shared" si="9"/>
        <v>100</v>
      </c>
      <c r="H12" s="60">
        <f t="shared" si="10"/>
        <v>0.69486693437709435</v>
      </c>
      <c r="I12" s="32">
        <f t="shared" si="5"/>
        <v>1.2160171351599152</v>
      </c>
      <c r="J12" s="32">
        <f t="shared" si="6"/>
        <v>5.9179500577782544</v>
      </c>
      <c r="K12" s="61">
        <f t="shared" si="7"/>
        <v>5.5720217628703897E-2</v>
      </c>
      <c r="M12" s="1" t="s">
        <v>9</v>
      </c>
      <c r="N12" s="1">
        <f>COUNT(F8:F48)</f>
        <v>41</v>
      </c>
      <c r="P12" s="79">
        <f t="shared" si="0"/>
        <v>0.11137353777885439</v>
      </c>
      <c r="Q12" s="94">
        <f t="shared" si="1"/>
        <v>49.499925276680337</v>
      </c>
      <c r="R12" s="108">
        <f t="shared" si="2"/>
        <v>46.505663388421027</v>
      </c>
      <c r="S12" s="132"/>
      <c r="T12" s="132"/>
      <c r="U12" s="132"/>
      <c r="V12" s="103"/>
    </row>
    <row r="13" spans="1:31" ht="16.5" customHeight="1">
      <c r="A13" s="1">
        <f t="shared" si="8"/>
        <v>5.8666666666666671</v>
      </c>
      <c r="B13" s="12">
        <v>45300</v>
      </c>
      <c r="C13" s="74">
        <v>3.5000000000000003E-2</v>
      </c>
      <c r="D13" s="78">
        <f t="shared" si="3"/>
        <v>1.7500000000000002</v>
      </c>
      <c r="E13" s="51">
        <v>0</v>
      </c>
      <c r="F13" s="45">
        <f t="shared" si="4"/>
        <v>1.7500000000000002</v>
      </c>
      <c r="G13" s="40">
        <f t="shared" si="9"/>
        <v>100</v>
      </c>
      <c r="H13" s="60">
        <f t="shared" si="10"/>
        <v>0.64478612421169967</v>
      </c>
      <c r="I13" s="32">
        <f t="shared" si="5"/>
        <v>1.1283757173704745</v>
      </c>
      <c r="J13" s="32">
        <f t="shared" si="6"/>
        <v>6.6198042085734512</v>
      </c>
      <c r="K13" s="61">
        <f t="shared" si="7"/>
        <v>6.716957741542387E-2</v>
      </c>
      <c r="M13" s="1" t="s">
        <v>34</v>
      </c>
      <c r="N13" s="2">
        <v>44205</v>
      </c>
      <c r="O13" s="3"/>
      <c r="P13" s="79">
        <f t="shared" si="0"/>
        <v>0.12137353777885439</v>
      </c>
      <c r="Q13" s="94">
        <f t="shared" si="1"/>
        <v>45.548863084049842</v>
      </c>
      <c r="R13" s="108">
        <f t="shared" si="2"/>
        <v>43.902530511908964</v>
      </c>
      <c r="S13" s="132"/>
      <c r="T13" s="132"/>
      <c r="U13" s="132"/>
      <c r="V13" s="103"/>
    </row>
    <row r="14" spans="1:31" ht="16.5" customHeight="1">
      <c r="A14" s="1">
        <f t="shared" si="8"/>
        <v>6.8666666666666671</v>
      </c>
      <c r="B14" s="12">
        <v>45482</v>
      </c>
      <c r="C14" s="74">
        <v>3.5000000000000003E-2</v>
      </c>
      <c r="D14" s="78">
        <f t="shared" si="3"/>
        <v>1.7500000000000002</v>
      </c>
      <c r="E14" s="51">
        <v>0</v>
      </c>
      <c r="F14" s="45">
        <f t="shared" si="4"/>
        <v>1.7500000000000002</v>
      </c>
      <c r="G14" s="40">
        <f t="shared" si="9"/>
        <v>100</v>
      </c>
      <c r="H14" s="60">
        <f t="shared" si="10"/>
        <v>0.59831476417659613</v>
      </c>
      <c r="I14" s="32">
        <f t="shared" si="5"/>
        <v>1.0470508373090432</v>
      </c>
      <c r="J14" s="32">
        <f t="shared" si="6"/>
        <v>7.1897490828554309</v>
      </c>
      <c r="K14" s="61">
        <f t="shared" si="7"/>
        <v>7.8618937202143843E-2</v>
      </c>
      <c r="M14" s="1" t="s">
        <v>13</v>
      </c>
      <c r="N14" s="84">
        <f>DAYS360(A7,B7)/360*C8*G7</f>
        <v>5.1736111111111115E-2</v>
      </c>
      <c r="O14" s="3"/>
      <c r="P14" s="79">
        <f t="shared" si="0"/>
        <v>0.13137353777885438</v>
      </c>
      <c r="Q14" s="94">
        <f t="shared" si="1"/>
        <v>42.022414589287564</v>
      </c>
      <c r="R14" s="108">
        <f t="shared" si="2"/>
        <v>41.299397635396915</v>
      </c>
      <c r="S14" s="132"/>
      <c r="T14" s="132"/>
      <c r="U14" s="132"/>
      <c r="V14" s="103"/>
    </row>
    <row r="15" spans="1:31" ht="16.5" customHeight="1">
      <c r="A15" s="1">
        <f t="shared" si="8"/>
        <v>7.8666666666666671</v>
      </c>
      <c r="B15" s="12">
        <v>45666</v>
      </c>
      <c r="C15" s="74">
        <v>3.5000000000000003E-2</v>
      </c>
      <c r="D15" s="78">
        <f t="shared" si="3"/>
        <v>1.7500000000000002</v>
      </c>
      <c r="E15" s="51">
        <v>0</v>
      </c>
      <c r="F15" s="45">
        <f t="shared" si="4"/>
        <v>1.7500000000000002</v>
      </c>
      <c r="G15" s="40">
        <f t="shared" si="9"/>
        <v>100</v>
      </c>
      <c r="H15" s="60">
        <f t="shared" si="10"/>
        <v>0.55519271210954546</v>
      </c>
      <c r="I15" s="32">
        <f t="shared" si="5"/>
        <v>0.97158724619170467</v>
      </c>
      <c r="J15" s="32">
        <f t="shared" si="6"/>
        <v>7.6431530033747439</v>
      </c>
      <c r="K15" s="61">
        <f t="shared" si="7"/>
        <v>9.0068296988863816E-2</v>
      </c>
      <c r="M15" s="1" t="s">
        <v>31</v>
      </c>
      <c r="N15" s="26">
        <f>G7+N14</f>
        <v>100.05173611111111</v>
      </c>
      <c r="P15" s="79">
        <f t="shared" si="0"/>
        <v>0.14137353777885439</v>
      </c>
      <c r="Q15" s="94">
        <f t="shared" si="1"/>
        <v>38.866799727641641</v>
      </c>
      <c r="R15" s="108">
        <f t="shared" si="2"/>
        <v>38.696264758884851</v>
      </c>
      <c r="S15" s="132"/>
      <c r="T15" s="132"/>
      <c r="U15" s="132"/>
      <c r="V15" s="103"/>
    </row>
    <row r="16" spans="1:31" ht="16.5" customHeight="1">
      <c r="A16" s="1">
        <f t="shared" si="8"/>
        <v>8.8666666666666671</v>
      </c>
      <c r="B16" s="12">
        <v>45847</v>
      </c>
      <c r="C16" s="74">
        <v>3.5000000000000003E-2</v>
      </c>
      <c r="D16" s="78">
        <f t="shared" si="3"/>
        <v>1.7500000000000002</v>
      </c>
      <c r="E16" s="51">
        <v>0</v>
      </c>
      <c r="F16" s="45">
        <f t="shared" si="4"/>
        <v>1.7500000000000002</v>
      </c>
      <c r="G16" s="40">
        <f t="shared" si="9"/>
        <v>100</v>
      </c>
      <c r="H16" s="60">
        <f t="shared" si="10"/>
        <v>0.51517857494917862</v>
      </c>
      <c r="I16" s="32">
        <f t="shared" si="5"/>
        <v>0.9015625061610627</v>
      </c>
      <c r="J16" s="32">
        <f t="shared" si="6"/>
        <v>7.9938542212947565</v>
      </c>
      <c r="K16" s="61">
        <f t="shared" si="7"/>
        <v>0.1015176567755838</v>
      </c>
      <c r="M16" s="1" t="s">
        <v>30</v>
      </c>
      <c r="N16" s="26">
        <f>-N9-N14</f>
        <v>33.438263888888891</v>
      </c>
      <c r="P16" s="79">
        <f>P17-0.01</f>
        <v>0.1513735377788544</v>
      </c>
      <c r="Q16" s="94">
        <f t="shared" si="1"/>
        <v>36.03588590539492</v>
      </c>
      <c r="R16" s="108">
        <f t="shared" si="2"/>
        <v>36.093131882372788</v>
      </c>
      <c r="S16" s="132"/>
      <c r="T16" s="132"/>
      <c r="U16" s="132"/>
      <c r="V16" s="103"/>
    </row>
    <row r="17" spans="1:23" ht="16.5" customHeight="1">
      <c r="A17" s="1">
        <f t="shared" si="8"/>
        <v>9.8666666666666671</v>
      </c>
      <c r="B17" s="12">
        <v>46031</v>
      </c>
      <c r="C17" s="74">
        <v>3.5000000000000003E-2</v>
      </c>
      <c r="D17" s="78">
        <f t="shared" si="3"/>
        <v>1.7500000000000002</v>
      </c>
      <c r="E17" s="51">
        <v>0</v>
      </c>
      <c r="F17" s="45">
        <f t="shared" si="4"/>
        <v>1.7500000000000002</v>
      </c>
      <c r="G17" s="40">
        <f t="shared" si="9"/>
        <v>100</v>
      </c>
      <c r="H17" s="60">
        <f t="shared" si="10"/>
        <v>0.4780483574400709</v>
      </c>
      <c r="I17" s="32">
        <f t="shared" si="5"/>
        <v>0.83658462552012414</v>
      </c>
      <c r="J17" s="32">
        <f t="shared" si="6"/>
        <v>8.2543016384652255</v>
      </c>
      <c r="K17" s="61">
        <f t="shared" si="7"/>
        <v>0.11296701656230378</v>
      </c>
      <c r="M17" s="1" t="s">
        <v>11</v>
      </c>
      <c r="N17" s="2">
        <f>F4</f>
        <v>44227</v>
      </c>
      <c r="P17" s="80">
        <f>F51</f>
        <v>0.16137353777885441</v>
      </c>
      <c r="Q17" s="95">
        <f>-$F$7+XNPV(P17,$F$7:$F$48,$B$7:$B$48)</f>
        <v>33.489999005860732</v>
      </c>
      <c r="R17" s="109">
        <f>$Q$17+($Q$17*(($P$17-P17)*$N$23*100)/100)</f>
        <v>33.489999005860732</v>
      </c>
      <c r="S17" s="132"/>
      <c r="T17" s="132"/>
      <c r="U17" s="132"/>
      <c r="V17" s="103"/>
    </row>
    <row r="18" spans="1:23" ht="16.5" customHeight="1">
      <c r="A18" s="1">
        <f t="shared" si="8"/>
        <v>10.866666666666667</v>
      </c>
      <c r="B18" s="12">
        <v>46212</v>
      </c>
      <c r="C18" s="74">
        <v>3.5000000000000003E-2</v>
      </c>
      <c r="D18" s="78">
        <f t="shared" si="3"/>
        <v>1.7500000000000002</v>
      </c>
      <c r="E18" s="51">
        <v>0</v>
      </c>
      <c r="F18" s="45">
        <f t="shared" si="4"/>
        <v>1.7500000000000002</v>
      </c>
      <c r="G18" s="40">
        <f t="shared" si="9"/>
        <v>100</v>
      </c>
      <c r="H18" s="60">
        <f t="shared" si="10"/>
        <v>0.44359420822904733</v>
      </c>
      <c r="I18" s="32">
        <f t="shared" si="5"/>
        <v>0.77628986440083292</v>
      </c>
      <c r="J18" s="32">
        <f t="shared" si="6"/>
        <v>8.4356831931557181</v>
      </c>
      <c r="K18" s="61">
        <f t="shared" si="7"/>
        <v>0.12441637634902375</v>
      </c>
      <c r="M18" s="1" t="s">
        <v>12</v>
      </c>
      <c r="N18" s="6">
        <f>B48</f>
        <v>51691</v>
      </c>
      <c r="P18" s="79">
        <f>P17+0.01</f>
        <v>0.17137353777885442</v>
      </c>
      <c r="Q18" s="94">
        <f t="shared" si="1"/>
        <v>31.194933109210307</v>
      </c>
      <c r="R18" s="108">
        <f>$Q$17+($Q$17*(($P$17-P18)*$N$23*100)/100)</f>
        <v>30.886866129348672</v>
      </c>
      <c r="S18" s="132"/>
      <c r="T18" s="132"/>
      <c r="U18" s="132"/>
      <c r="V18" s="103"/>
    </row>
    <row r="19" spans="1:23" ht="16.5" customHeight="1">
      <c r="A19" s="1">
        <f>1+A18</f>
        <v>11.866666666666667</v>
      </c>
      <c r="B19" s="12">
        <v>46396</v>
      </c>
      <c r="C19" s="74">
        <v>3.5000000000000003E-2</v>
      </c>
      <c r="D19" s="78">
        <f t="shared" si="3"/>
        <v>1.7500000000000002</v>
      </c>
      <c r="E19" s="51">
        <v>0</v>
      </c>
      <c r="F19" s="45">
        <f t="shared" si="4"/>
        <v>1.7500000000000002</v>
      </c>
      <c r="G19" s="40">
        <f t="shared" si="9"/>
        <v>100</v>
      </c>
      <c r="H19" s="60">
        <f t="shared" si="10"/>
        <v>0.41162325633348434</v>
      </c>
      <c r="I19" s="32">
        <f t="shared" si="5"/>
        <v>0.72034069858359773</v>
      </c>
      <c r="J19" s="32">
        <f t="shared" si="6"/>
        <v>8.5480429565253608</v>
      </c>
      <c r="K19" s="61">
        <f t="shared" si="7"/>
        <v>0.13586573613574371</v>
      </c>
      <c r="M19" s="83" t="s">
        <v>44</v>
      </c>
      <c r="N19" s="4">
        <f>N10/(-F7)*G7</f>
        <v>3.7324574499850698E-3</v>
      </c>
      <c r="P19" s="79">
        <f t="shared" ref="P19:P21" si="11">P18+0.01</f>
        <v>0.18137353777885443</v>
      </c>
      <c r="Q19" s="94">
        <f t="shared" si="1"/>
        <v>29.121123642916725</v>
      </c>
      <c r="R19" s="108">
        <f t="shared" ref="R19:R21" si="12">$Q$17+($Q$17*(($P$17-P19)*$N$23*100)/100)</f>
        <v>28.283733252836612</v>
      </c>
      <c r="S19" s="132"/>
      <c r="T19" s="132"/>
      <c r="U19" s="132"/>
      <c r="V19" s="103"/>
    </row>
    <row r="20" spans="1:23" ht="16.5" customHeight="1">
      <c r="A20" s="1">
        <f t="shared" ref="A20:A48" si="13">1+A19</f>
        <v>12.866666666666667</v>
      </c>
      <c r="B20" s="12">
        <v>46577</v>
      </c>
      <c r="C20" s="74">
        <v>3.5000000000000003E-2</v>
      </c>
      <c r="D20" s="78">
        <f t="shared" si="3"/>
        <v>1.7500000000000002</v>
      </c>
      <c r="E20" s="51">
        <v>0</v>
      </c>
      <c r="F20" s="45">
        <f t="shared" si="4"/>
        <v>1.7500000000000002</v>
      </c>
      <c r="G20" s="40">
        <f t="shared" si="9"/>
        <v>100</v>
      </c>
      <c r="H20" s="60">
        <f t="shared" si="10"/>
        <v>0.38195653146827202</v>
      </c>
      <c r="I20" s="32">
        <f t="shared" si="5"/>
        <v>0.66842393006947609</v>
      </c>
      <c r="J20" s="32">
        <f t="shared" si="6"/>
        <v>8.6003879002272594</v>
      </c>
      <c r="K20" s="61">
        <f t="shared" si="7"/>
        <v>0.1473150959224637</v>
      </c>
      <c r="M20" s="15" t="s">
        <v>15</v>
      </c>
      <c r="N20" s="3">
        <f>(((1+F51)^(1/2))-1)*2</f>
        <v>0.15534084337383103</v>
      </c>
      <c r="P20" s="79">
        <f t="shared" si="11"/>
        <v>0.19137353777885444</v>
      </c>
      <c r="Q20" s="94">
        <f t="shared" si="1"/>
        <v>27.242955279310749</v>
      </c>
      <c r="R20" s="108">
        <f t="shared" si="12"/>
        <v>25.680600376324552</v>
      </c>
      <c r="S20" s="132"/>
      <c r="T20" s="132"/>
      <c r="U20" s="132"/>
      <c r="V20" s="103"/>
    </row>
    <row r="21" spans="1:23" ht="16.5" customHeight="1" thickBot="1">
      <c r="A21" s="1">
        <f t="shared" si="13"/>
        <v>13.866666666666667</v>
      </c>
      <c r="B21" s="12">
        <v>46761</v>
      </c>
      <c r="C21" s="74">
        <v>3.5000000000000003E-2</v>
      </c>
      <c r="D21" s="78">
        <f t="shared" si="3"/>
        <v>1.7500000000000002</v>
      </c>
      <c r="E21" s="73">
        <f>1/28*100</f>
        <v>3.5714285714285712</v>
      </c>
      <c r="F21" s="45">
        <f t="shared" si="4"/>
        <v>5.3214285714285712</v>
      </c>
      <c r="G21" s="40">
        <f t="shared" si="9"/>
        <v>96.428571428571431</v>
      </c>
      <c r="H21" s="60">
        <f t="shared" si="10"/>
        <v>0.35442796218753225</v>
      </c>
      <c r="I21" s="32">
        <f t="shared" si="5"/>
        <v>1.8860630844979394</v>
      </c>
      <c r="J21" s="32">
        <f t="shared" si="6"/>
        <v>26.153408105038093</v>
      </c>
      <c r="K21" s="61">
        <f t="shared" si="7"/>
        <v>0.48277354899323188</v>
      </c>
      <c r="M21" s="15" t="s">
        <v>20</v>
      </c>
      <c r="N21" s="7">
        <f>J51/I51</f>
        <v>16.753176399001344</v>
      </c>
      <c r="P21" s="82">
        <f t="shared" si="11"/>
        <v>0.20137353777885444</v>
      </c>
      <c r="Q21" s="96">
        <f>-$F$7+XNPV(P21,$F$7:$F$48,$B$7:$B$48)</f>
        <v>25.538181204169472</v>
      </c>
      <c r="R21" s="110">
        <f t="shared" si="12"/>
        <v>23.077467499812492</v>
      </c>
      <c r="S21" s="132"/>
      <c r="T21" s="132"/>
      <c r="U21" s="132"/>
      <c r="V21" s="103"/>
    </row>
    <row r="22" spans="1:23" ht="16.5" customHeight="1">
      <c r="A22" s="1">
        <f t="shared" si="13"/>
        <v>14.866666666666667</v>
      </c>
      <c r="B22" s="12">
        <v>46943</v>
      </c>
      <c r="C22" s="74">
        <v>3.5000000000000003E-2</v>
      </c>
      <c r="D22" s="78">
        <f t="shared" si="3"/>
        <v>1.6875000000000002</v>
      </c>
      <c r="E22" s="73">
        <f t="shared" ref="E22:E47" si="14">1/28*100</f>
        <v>3.5714285714285712</v>
      </c>
      <c r="F22" s="45">
        <f t="shared" si="4"/>
        <v>5.2589285714285712</v>
      </c>
      <c r="G22" s="40">
        <f t="shared" si="9"/>
        <v>92.857142857142861</v>
      </c>
      <c r="H22" s="60">
        <f t="shared" si="10"/>
        <v>0.32888344623278581</v>
      </c>
      <c r="I22" s="32">
        <f t="shared" si="5"/>
        <v>1.7295745520634895</v>
      </c>
      <c r="J22" s="32">
        <f t="shared" si="6"/>
        <v>25.713008340677213</v>
      </c>
      <c r="K22" s="61">
        <f t="shared" si="7"/>
        <v>0.51150988432187361</v>
      </c>
      <c r="M22" s="15" t="s">
        <v>21</v>
      </c>
      <c r="N22" s="7">
        <f>N21/2</f>
        <v>8.3765881995006719</v>
      </c>
    </row>
    <row r="23" spans="1:23" ht="16.5" customHeight="1">
      <c r="A23" s="1">
        <f t="shared" si="13"/>
        <v>15.866666666666667</v>
      </c>
      <c r="B23" s="12">
        <v>47127</v>
      </c>
      <c r="C23" s="74">
        <v>3.5000000000000003E-2</v>
      </c>
      <c r="D23" s="78">
        <f t="shared" si="3"/>
        <v>1.6250000000000002</v>
      </c>
      <c r="E23" s="73">
        <f t="shared" si="14"/>
        <v>3.5714285714285712</v>
      </c>
      <c r="F23" s="45">
        <f t="shared" si="4"/>
        <v>5.1964285714285712</v>
      </c>
      <c r="G23" s="40">
        <f t="shared" si="9"/>
        <v>89.285714285714292</v>
      </c>
      <c r="H23" s="60">
        <f t="shared" si="10"/>
        <v>0.30517998788346901</v>
      </c>
      <c r="I23" s="32">
        <f t="shared" si="5"/>
        <v>1.5858460084658834</v>
      </c>
      <c r="J23" s="32">
        <f t="shared" si="6"/>
        <v>25.162090000992016</v>
      </c>
      <c r="K23" s="61">
        <f t="shared" si="7"/>
        <v>0.5394284082371783</v>
      </c>
      <c r="M23" s="15" t="s">
        <v>36</v>
      </c>
      <c r="N23" s="1">
        <f>N22/(1+(F53/2))</f>
        <v>7.7728663893256931</v>
      </c>
      <c r="O23" s="18" t="s">
        <v>24</v>
      </c>
      <c r="P23" s="19" t="s">
        <v>53</v>
      </c>
      <c r="Q23" s="27" t="s">
        <v>54</v>
      </c>
      <c r="R23" s="92">
        <f>N23</f>
        <v>7.7728663893256931</v>
      </c>
      <c r="S23" s="145" t="s">
        <v>66</v>
      </c>
      <c r="T23" s="145"/>
      <c r="U23" s="145"/>
      <c r="V23" s="91"/>
      <c r="W23" s="91"/>
    </row>
    <row r="24" spans="1:23" ht="16.5" customHeight="1">
      <c r="A24" s="1">
        <f t="shared" si="13"/>
        <v>16.866666666666667</v>
      </c>
      <c r="B24" s="12">
        <v>47308</v>
      </c>
      <c r="C24" s="74">
        <v>3.5000000000000003E-2</v>
      </c>
      <c r="D24" s="78">
        <f t="shared" si="3"/>
        <v>1.5625000000000002</v>
      </c>
      <c r="E24" s="73">
        <f t="shared" si="14"/>
        <v>3.5714285714285712</v>
      </c>
      <c r="F24" s="45">
        <f t="shared" si="4"/>
        <v>5.1339285714285712</v>
      </c>
      <c r="G24" s="40">
        <f t="shared" si="9"/>
        <v>85.714285714285722</v>
      </c>
      <c r="H24" s="60">
        <f t="shared" si="10"/>
        <v>0.28318489748077152</v>
      </c>
      <c r="I24" s="32">
        <f t="shared" si="5"/>
        <v>1.4538510361736037</v>
      </c>
      <c r="J24" s="32">
        <f t="shared" si="6"/>
        <v>24.521620810128116</v>
      </c>
      <c r="K24" s="61">
        <f t="shared" si="7"/>
        <v>0.56652912073914563</v>
      </c>
      <c r="M24" s="1" t="s">
        <v>27</v>
      </c>
      <c r="N24" s="1">
        <f>N23*(-N9)/100</f>
        <v>2.6031329537851748</v>
      </c>
      <c r="V24" s="25"/>
    </row>
    <row r="25" spans="1:23" ht="16.5" customHeight="1">
      <c r="A25" s="1">
        <f t="shared" si="13"/>
        <v>17.866666666666667</v>
      </c>
      <c r="B25" s="12">
        <v>47492</v>
      </c>
      <c r="C25" s="74">
        <v>4.8750000000000002E-2</v>
      </c>
      <c r="D25" s="78">
        <f t="shared" si="3"/>
        <v>2.0892857142857144</v>
      </c>
      <c r="E25" s="73">
        <f t="shared" si="14"/>
        <v>3.5714285714285712</v>
      </c>
      <c r="F25" s="45">
        <f t="shared" si="4"/>
        <v>5.6607142857142856</v>
      </c>
      <c r="G25" s="40">
        <f t="shared" si="9"/>
        <v>82.142857142857153</v>
      </c>
      <c r="H25" s="60">
        <f t="shared" si="10"/>
        <v>0.2627750486438073</v>
      </c>
      <c r="I25" s="32">
        <f t="shared" si="5"/>
        <v>1.4874944717872662</v>
      </c>
      <c r="J25" s="32">
        <f t="shared" si="6"/>
        <v>26.576567895932492</v>
      </c>
      <c r="K25" s="61">
        <f t="shared" si="7"/>
        <v>0.66169510887114436</v>
      </c>
      <c r="N25" s="13"/>
      <c r="O25" s="69"/>
      <c r="P25" s="70"/>
      <c r="V25" s="25"/>
    </row>
    <row r="26" spans="1:23" ht="16.5" customHeight="1" thickBot="1">
      <c r="A26" s="1">
        <f t="shared" si="13"/>
        <v>18.866666666666667</v>
      </c>
      <c r="B26" s="12">
        <v>47673</v>
      </c>
      <c r="C26" s="74">
        <v>4.8750000000000002E-2</v>
      </c>
      <c r="D26" s="78">
        <f t="shared" si="3"/>
        <v>2.0022321428571432</v>
      </c>
      <c r="E26" s="73">
        <f t="shared" si="14"/>
        <v>3.5714285714285712</v>
      </c>
      <c r="F26" s="45">
        <f t="shared" si="4"/>
        <v>5.5736607142857144</v>
      </c>
      <c r="G26" s="40">
        <f t="shared" si="9"/>
        <v>78.571428571428584</v>
      </c>
      <c r="H26" s="60">
        <f t="shared" si="10"/>
        <v>0.24383618902008672</v>
      </c>
      <c r="I26" s="32">
        <f t="shared" si="5"/>
        <v>1.3590601874624031</v>
      </c>
      <c r="J26" s="32">
        <f t="shared" si="6"/>
        <v>25.640935536790671</v>
      </c>
      <c r="K26" s="61">
        <f t="shared" si="7"/>
        <v>0.6879848250548859</v>
      </c>
      <c r="O26" s="69"/>
      <c r="P26" s="36"/>
      <c r="V26" s="8"/>
    </row>
    <row r="27" spans="1:23" ht="16.5" customHeight="1" thickBot="1">
      <c r="A27" s="1">
        <f t="shared" si="13"/>
        <v>19.866666666666667</v>
      </c>
      <c r="B27" s="12">
        <v>47857</v>
      </c>
      <c r="C27" s="74">
        <v>4.8750000000000002E-2</v>
      </c>
      <c r="D27" s="78">
        <f t="shared" si="3"/>
        <v>1.9151785714285718</v>
      </c>
      <c r="E27" s="73">
        <f t="shared" si="14"/>
        <v>3.5714285714285712</v>
      </c>
      <c r="F27" s="45">
        <f t="shared" si="4"/>
        <v>5.4866071428571432</v>
      </c>
      <c r="G27" s="40">
        <f t="shared" si="9"/>
        <v>75.000000000000014</v>
      </c>
      <c r="H27" s="60">
        <f t="shared" si="10"/>
        <v>0.22626230071193873</v>
      </c>
      <c r="I27" s="32">
        <f t="shared" si="5"/>
        <v>1.2414123552454139</v>
      </c>
      <c r="J27" s="32">
        <f t="shared" si="6"/>
        <v>24.662725457542223</v>
      </c>
      <c r="K27" s="61">
        <f t="shared" si="7"/>
        <v>0.71313544677005059</v>
      </c>
      <c r="M27" s="97" t="s">
        <v>26</v>
      </c>
      <c r="N27" s="28" t="s">
        <v>37</v>
      </c>
      <c r="O27" s="69"/>
      <c r="P27" s="36"/>
      <c r="V27" s="8"/>
    </row>
    <row r="28" spans="1:23" ht="16.5" customHeight="1">
      <c r="A28" s="1">
        <f t="shared" si="13"/>
        <v>20.866666666666667</v>
      </c>
      <c r="B28" s="12">
        <v>48038</v>
      </c>
      <c r="C28" s="74">
        <v>4.8750000000000002E-2</v>
      </c>
      <c r="D28" s="78">
        <f t="shared" si="3"/>
        <v>1.8281250000000004</v>
      </c>
      <c r="E28" s="73">
        <f t="shared" si="14"/>
        <v>3.5714285714285712</v>
      </c>
      <c r="F28" s="45">
        <f t="shared" si="4"/>
        <v>5.3995535714285712</v>
      </c>
      <c r="G28" s="40">
        <f t="shared" si="9"/>
        <v>71.428571428571445</v>
      </c>
      <c r="H28" s="60">
        <f t="shared" si="10"/>
        <v>0.20995500679861137</v>
      </c>
      <c r="I28" s="32">
        <f t="shared" si="5"/>
        <v>1.133663306798752</v>
      </c>
      <c r="J28" s="32">
        <f t="shared" si="6"/>
        <v>23.655774335200626</v>
      </c>
      <c r="K28" s="61">
        <f t="shared" si="7"/>
        <v>0.73714697401663853</v>
      </c>
      <c r="M28" s="140" t="s">
        <v>35</v>
      </c>
      <c r="N28" s="141"/>
      <c r="O28" s="69"/>
      <c r="P28" s="36"/>
      <c r="V28" s="25"/>
    </row>
    <row r="29" spans="1:23" ht="16.5" customHeight="1">
      <c r="A29" s="1">
        <f t="shared" si="13"/>
        <v>21.866666666666667</v>
      </c>
      <c r="B29" s="12">
        <v>48222</v>
      </c>
      <c r="C29" s="74">
        <v>4.8750000000000002E-2</v>
      </c>
      <c r="D29" s="78">
        <f t="shared" si="3"/>
        <v>1.741071428571429</v>
      </c>
      <c r="E29" s="73">
        <f t="shared" si="14"/>
        <v>3.5714285714285712</v>
      </c>
      <c r="F29" s="45">
        <f t="shared" si="4"/>
        <v>5.3125</v>
      </c>
      <c r="G29" s="40">
        <f t="shared" si="9"/>
        <v>67.857142857142875</v>
      </c>
      <c r="H29" s="60">
        <f t="shared" si="10"/>
        <v>0.19482302063181936</v>
      </c>
      <c r="I29" s="32">
        <f t="shared" si="5"/>
        <v>1.0349972971065404</v>
      </c>
      <c r="J29" s="32">
        <f t="shared" si="6"/>
        <v>22.631940896729684</v>
      </c>
      <c r="K29" s="61">
        <f t="shared" si="7"/>
        <v>0.76001940679464985</v>
      </c>
      <c r="M29" s="20" t="s">
        <v>21</v>
      </c>
      <c r="N29" s="21">
        <f>DURATION(B7,N18,N10,F51,2)</f>
        <v>18.20502496759546</v>
      </c>
      <c r="O29" s="69"/>
      <c r="P29" s="36"/>
      <c r="V29" s="24"/>
    </row>
    <row r="30" spans="1:23" ht="16.5" customHeight="1" thickBot="1">
      <c r="A30" s="1">
        <f t="shared" si="13"/>
        <v>22.866666666666667</v>
      </c>
      <c r="B30" s="12">
        <v>48404</v>
      </c>
      <c r="C30" s="74">
        <v>4.8750000000000002E-2</v>
      </c>
      <c r="D30" s="78">
        <f t="shared" si="3"/>
        <v>1.6540178571428577</v>
      </c>
      <c r="E30" s="73">
        <f t="shared" si="14"/>
        <v>3.5714285714285712</v>
      </c>
      <c r="F30" s="45">
        <f t="shared" si="4"/>
        <v>5.2254464285714288</v>
      </c>
      <c r="G30" s="40">
        <f t="shared" si="9"/>
        <v>64.285714285714306</v>
      </c>
      <c r="H30" s="60">
        <f t="shared" si="10"/>
        <v>0.18078163482194859</v>
      </c>
      <c r="I30" s="32">
        <f t="shared" si="5"/>
        <v>0.94466474803165545</v>
      </c>
      <c r="J30" s="32">
        <f t="shared" si="6"/>
        <v>21.601333904990522</v>
      </c>
      <c r="K30" s="61">
        <f t="shared" si="7"/>
        <v>0.78175274510408432</v>
      </c>
      <c r="M30" s="22" t="s">
        <v>23</v>
      </c>
      <c r="N30" s="23">
        <f>MDURATION(B7,N18,N10,F51,2)</f>
        <v>16.845792408751276</v>
      </c>
      <c r="O30" s="69"/>
      <c r="P30" s="36"/>
      <c r="V30" s="25"/>
    </row>
    <row r="31" spans="1:23" ht="16.5" customHeight="1">
      <c r="A31" s="1">
        <f t="shared" si="13"/>
        <v>23.866666666666667</v>
      </c>
      <c r="B31" s="12">
        <v>48588</v>
      </c>
      <c r="C31" s="74">
        <v>4.8750000000000002E-2</v>
      </c>
      <c r="D31" s="78">
        <f t="shared" si="3"/>
        <v>1.5669642857142863</v>
      </c>
      <c r="E31" s="73">
        <f t="shared" si="14"/>
        <v>3.5714285714285712</v>
      </c>
      <c r="F31" s="45">
        <f t="shared" si="4"/>
        <v>5.1383928571428577</v>
      </c>
      <c r="G31" s="40">
        <f t="shared" si="9"/>
        <v>60.714285714285737</v>
      </c>
      <c r="H31" s="60">
        <f t="shared" si="10"/>
        <v>0.16775224705431249</v>
      </c>
      <c r="I31" s="32">
        <f t="shared" si="5"/>
        <v>0.8619769480335433</v>
      </c>
      <c r="J31" s="32">
        <f t="shared" si="6"/>
        <v>20.572516493067234</v>
      </c>
      <c r="K31" s="61">
        <f t="shared" si="7"/>
        <v>0.80234698894494227</v>
      </c>
      <c r="O31" s="69"/>
      <c r="P31" s="36"/>
      <c r="V31" s="25"/>
    </row>
    <row r="32" spans="1:23" ht="16.5" customHeight="1">
      <c r="A32" s="1">
        <f t="shared" si="13"/>
        <v>24.866666666666667</v>
      </c>
      <c r="B32" s="12">
        <v>48769</v>
      </c>
      <c r="C32" s="74">
        <v>4.8750000000000002E-2</v>
      </c>
      <c r="D32" s="78">
        <f t="shared" si="3"/>
        <v>1.4799107142857149</v>
      </c>
      <c r="E32" s="73">
        <f t="shared" si="14"/>
        <v>3.5714285714285712</v>
      </c>
      <c r="F32" s="45">
        <f t="shared" si="4"/>
        <v>5.0513392857142865</v>
      </c>
      <c r="G32" s="40">
        <f t="shared" si="9"/>
        <v>57.142857142857167</v>
      </c>
      <c r="H32" s="60">
        <f t="shared" si="10"/>
        <v>0.15566192008102439</v>
      </c>
      <c r="I32" s="32">
        <f t="shared" si="5"/>
        <v>0.78630117219499607</v>
      </c>
      <c r="J32" s="32">
        <f t="shared" si="6"/>
        <v>19.552689148582235</v>
      </c>
      <c r="K32" s="61">
        <f t="shared" si="7"/>
        <v>0.82180213831722326</v>
      </c>
      <c r="O32" s="69"/>
      <c r="P32" s="36"/>
      <c r="V32" s="8"/>
    </row>
    <row r="33" spans="1:24" ht="16.5" customHeight="1">
      <c r="A33" s="1">
        <f t="shared" si="13"/>
        <v>25.866666666666667</v>
      </c>
      <c r="B33" s="12">
        <v>48953</v>
      </c>
      <c r="C33" s="74">
        <v>4.8750000000000002E-2</v>
      </c>
      <c r="D33" s="78">
        <f t="shared" si="3"/>
        <v>1.3928571428571435</v>
      </c>
      <c r="E33" s="73">
        <f t="shared" si="14"/>
        <v>3.5714285714285712</v>
      </c>
      <c r="F33" s="45">
        <f t="shared" si="4"/>
        <v>4.9642857142857144</v>
      </c>
      <c r="G33" s="40">
        <f t="shared" si="9"/>
        <v>53.571428571428598</v>
      </c>
      <c r="H33" s="60">
        <f t="shared" si="10"/>
        <v>0.14444297342536441</v>
      </c>
      <c r="I33" s="32">
        <f t="shared" si="5"/>
        <v>0.71705618950448768</v>
      </c>
      <c r="J33" s="32">
        <f t="shared" si="6"/>
        <v>18.547853435182748</v>
      </c>
      <c r="K33" s="61">
        <f t="shared" si="7"/>
        <v>0.84011819322092751</v>
      </c>
      <c r="O33" s="69"/>
      <c r="P33" s="36"/>
      <c r="V33" s="25"/>
    </row>
    <row r="34" spans="1:24" ht="16.5" customHeight="1">
      <c r="A34" s="1">
        <f t="shared" si="13"/>
        <v>26.866666666666667</v>
      </c>
      <c r="B34" s="12">
        <v>49134</v>
      </c>
      <c r="C34" s="74">
        <v>4.8750000000000002E-2</v>
      </c>
      <c r="D34" s="78">
        <f t="shared" si="3"/>
        <v>1.3058035714285721</v>
      </c>
      <c r="E34" s="73">
        <f t="shared" si="14"/>
        <v>3.5714285714285712</v>
      </c>
      <c r="F34" s="45">
        <f t="shared" si="4"/>
        <v>4.8772321428571432</v>
      </c>
      <c r="G34" s="40">
        <f t="shared" si="9"/>
        <v>50.000000000000028</v>
      </c>
      <c r="H34" s="60">
        <f t="shared" si="10"/>
        <v>0.134032604513041</v>
      </c>
      <c r="I34" s="32">
        <f t="shared" si="5"/>
        <v>0.65370812692186298</v>
      </c>
      <c r="J34" s="32">
        <f t="shared" si="6"/>
        <v>17.562958343300718</v>
      </c>
      <c r="K34" s="61">
        <f t="shared" si="7"/>
        <v>0.85729515365605513</v>
      </c>
      <c r="O34" s="69"/>
      <c r="P34" s="36"/>
      <c r="V34" s="8"/>
    </row>
    <row r="35" spans="1:24" ht="16.5" customHeight="1">
      <c r="A35" s="1">
        <f t="shared" si="13"/>
        <v>27.866666666666667</v>
      </c>
      <c r="B35" s="12">
        <v>49318</v>
      </c>
      <c r="C35" s="74">
        <v>4.8750000000000002E-2</v>
      </c>
      <c r="D35" s="78">
        <f t="shared" si="3"/>
        <v>1.2187500000000007</v>
      </c>
      <c r="E35" s="73">
        <f t="shared" si="14"/>
        <v>3.5714285714285712</v>
      </c>
      <c r="F35" s="45">
        <f t="shared" si="4"/>
        <v>4.7901785714285721</v>
      </c>
      <c r="G35" s="40">
        <f t="shared" si="9"/>
        <v>46.428571428571459</v>
      </c>
      <c r="H35" s="60">
        <f t="shared" si="10"/>
        <v>0.12437253710947641</v>
      </c>
      <c r="I35" s="32">
        <f t="shared" si="5"/>
        <v>0.5957666621360187</v>
      </c>
      <c r="J35" s="32">
        <f t="shared" si="6"/>
        <v>16.602030984857056</v>
      </c>
      <c r="K35" s="61">
        <f t="shared" si="7"/>
        <v>0.87333301962260612</v>
      </c>
      <c r="O35" s="69"/>
      <c r="P35" s="36"/>
      <c r="V35" s="25"/>
    </row>
    <row r="36" spans="1:24" ht="16.5" customHeight="1">
      <c r="A36" s="1">
        <f t="shared" si="13"/>
        <v>28.866666666666667</v>
      </c>
      <c r="B36" s="12">
        <v>49499</v>
      </c>
      <c r="C36" s="74">
        <v>4.8750000000000002E-2</v>
      </c>
      <c r="D36" s="78">
        <f t="shared" si="3"/>
        <v>1.1316964285714293</v>
      </c>
      <c r="E36" s="73">
        <f t="shared" si="14"/>
        <v>3.5714285714285712</v>
      </c>
      <c r="F36" s="45">
        <f t="shared" si="4"/>
        <v>4.703125</v>
      </c>
      <c r="G36" s="40">
        <f t="shared" si="9"/>
        <v>42.85714285714289</v>
      </c>
      <c r="H36" s="60">
        <f t="shared" si="10"/>
        <v>0.1154086950951031</v>
      </c>
      <c r="I36" s="32">
        <f t="shared" si="5"/>
        <v>0.54278151911915673</v>
      </c>
      <c r="J36" s="32">
        <f t="shared" si="6"/>
        <v>15.668293185239659</v>
      </c>
      <c r="K36" s="61">
        <f t="shared" si="7"/>
        <v>0.88823179112058004</v>
      </c>
      <c r="M36" s="142" t="s">
        <v>38</v>
      </c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</row>
    <row r="37" spans="1:24" ht="16.5" customHeight="1">
      <c r="A37" s="1">
        <f t="shared" si="13"/>
        <v>29.866666666666667</v>
      </c>
      <c r="B37" s="12">
        <v>49683</v>
      </c>
      <c r="C37" s="74">
        <v>4.8750000000000002E-2</v>
      </c>
      <c r="D37" s="78">
        <f t="shared" si="3"/>
        <v>1.0446428571428579</v>
      </c>
      <c r="E37" s="73">
        <f t="shared" si="14"/>
        <v>3.5714285714285712</v>
      </c>
      <c r="F37" s="45">
        <f t="shared" si="4"/>
        <v>4.6160714285714288</v>
      </c>
      <c r="G37" s="40">
        <f t="shared" si="9"/>
        <v>39.28571428571432</v>
      </c>
      <c r="H37" s="60">
        <f t="shared" si="10"/>
        <v>0.10709089975249557</v>
      </c>
      <c r="I37" s="32">
        <f t="shared" si="5"/>
        <v>0.49433924260750189</v>
      </c>
      <c r="J37" s="32">
        <f t="shared" si="6"/>
        <v>14.764265379210723</v>
      </c>
      <c r="K37" s="61">
        <f t="shared" si="7"/>
        <v>0.90199146814997755</v>
      </c>
      <c r="O37" s="69"/>
      <c r="P37" s="36"/>
      <c r="V37" s="8"/>
    </row>
    <row r="38" spans="1:24" ht="16.5" customHeight="1">
      <c r="A38" s="1">
        <f t="shared" si="13"/>
        <v>30.866666666666667</v>
      </c>
      <c r="B38" s="12">
        <v>49865</v>
      </c>
      <c r="C38" s="74">
        <v>4.8750000000000002E-2</v>
      </c>
      <c r="D38" s="78">
        <f t="shared" si="3"/>
        <v>0.95758928571428659</v>
      </c>
      <c r="E38" s="73">
        <f t="shared" si="14"/>
        <v>3.5714285714285712</v>
      </c>
      <c r="F38" s="45">
        <f t="shared" si="4"/>
        <v>4.5290178571428577</v>
      </c>
      <c r="G38" s="40">
        <f t="shared" si="9"/>
        <v>35.714285714285751</v>
      </c>
      <c r="H38" s="60">
        <f t="shared" si="10"/>
        <v>9.9372588870781431E-2</v>
      </c>
      <c r="I38" s="32">
        <f t="shared" si="5"/>
        <v>0.45006022950628471</v>
      </c>
      <c r="J38" s="32">
        <f t="shared" si="6"/>
        <v>13.891859084093989</v>
      </c>
      <c r="K38" s="61">
        <f t="shared" si="7"/>
        <v>0.91461205071079821</v>
      </c>
      <c r="O38" s="71"/>
      <c r="P38" s="72"/>
      <c r="V38" s="8"/>
    </row>
    <row r="39" spans="1:24" ht="16.5" customHeight="1">
      <c r="A39" s="1">
        <f t="shared" si="13"/>
        <v>31.866666666666667</v>
      </c>
      <c r="B39" s="12">
        <v>50049</v>
      </c>
      <c r="C39" s="74">
        <v>4.8750000000000002E-2</v>
      </c>
      <c r="D39" s="78">
        <f t="shared" si="3"/>
        <v>0.87053571428571519</v>
      </c>
      <c r="E39" s="73">
        <f t="shared" si="14"/>
        <v>3.5714285714285712</v>
      </c>
      <c r="F39" s="45">
        <f t="shared" si="4"/>
        <v>4.4419642857142865</v>
      </c>
      <c r="G39" s="40">
        <f t="shared" si="9"/>
        <v>32.142857142857181</v>
      </c>
      <c r="H39" s="60">
        <f t="shared" si="10"/>
        <v>9.221055609490518E-2</v>
      </c>
      <c r="I39" s="32">
        <f t="shared" si="5"/>
        <v>0.40959599693942261</v>
      </c>
      <c r="J39" s="32">
        <f t="shared" si="6"/>
        <v>13.052459102469602</v>
      </c>
      <c r="K39" s="61">
        <f t="shared" si="7"/>
        <v>0.92609353880304224</v>
      </c>
      <c r="P39" s="36"/>
      <c r="V39" s="8"/>
    </row>
    <row r="40" spans="1:24" ht="16.5" customHeight="1">
      <c r="A40" s="1">
        <f t="shared" si="13"/>
        <v>32.866666666666667</v>
      </c>
      <c r="B40" s="12">
        <v>50230</v>
      </c>
      <c r="C40" s="74">
        <v>4.8750000000000002E-2</v>
      </c>
      <c r="D40" s="78">
        <f t="shared" si="3"/>
        <v>0.78348214285714379</v>
      </c>
      <c r="E40" s="73">
        <f t="shared" si="14"/>
        <v>3.5714285714285712</v>
      </c>
      <c r="F40" s="45">
        <f t="shared" si="4"/>
        <v>4.3549107142857153</v>
      </c>
      <c r="G40" s="40">
        <f t="shared" si="9"/>
        <v>28.571428571428612</v>
      </c>
      <c r="H40" s="60">
        <f t="shared" si="10"/>
        <v>8.5564709060646518E-2</v>
      </c>
      <c r="I40" s="32">
        <f t="shared" si="5"/>
        <v>0.37262666825294954</v>
      </c>
      <c r="J40" s="32">
        <f t="shared" si="6"/>
        <v>12.246996496580275</v>
      </c>
      <c r="K40" s="61">
        <f t="shared" si="7"/>
        <v>0.93643593242670964</v>
      </c>
      <c r="P40" s="36"/>
      <c r="V40" s="24"/>
    </row>
    <row r="41" spans="1:24" ht="16.5" customHeight="1">
      <c r="A41" s="1">
        <f t="shared" si="13"/>
        <v>33.866666666666667</v>
      </c>
      <c r="B41" s="12">
        <v>50414</v>
      </c>
      <c r="C41" s="74">
        <v>4.8750000000000002E-2</v>
      </c>
      <c r="D41" s="78">
        <f t="shared" si="3"/>
        <v>0.6964285714285724</v>
      </c>
      <c r="E41" s="73">
        <f t="shared" si="14"/>
        <v>3.5714285714285712</v>
      </c>
      <c r="F41" s="45">
        <f t="shared" si="4"/>
        <v>4.2678571428571432</v>
      </c>
      <c r="G41" s="40">
        <f t="shared" si="9"/>
        <v>25.000000000000043</v>
      </c>
      <c r="H41" s="60">
        <f t="shared" si="10"/>
        <v>7.9397844961457756E-2</v>
      </c>
      <c r="I41" s="32">
        <f t="shared" si="5"/>
        <v>0.33885865974622154</v>
      </c>
      <c r="J41" s="32">
        <f t="shared" si="6"/>
        <v>11.476013276738703</v>
      </c>
      <c r="K41" s="61">
        <f t="shared" si="7"/>
        <v>0.94563923158179986</v>
      </c>
      <c r="V41" s="24"/>
    </row>
    <row r="42" spans="1:24" ht="16.5" customHeight="1">
      <c r="A42" s="1">
        <f t="shared" si="13"/>
        <v>34.866666666666667</v>
      </c>
      <c r="B42" s="12">
        <v>50595</v>
      </c>
      <c r="C42" s="74">
        <v>4.8750000000000002E-2</v>
      </c>
      <c r="D42" s="78">
        <f t="shared" si="3"/>
        <v>0.60937500000000111</v>
      </c>
      <c r="E42" s="73">
        <f t="shared" si="14"/>
        <v>3.5714285714285712</v>
      </c>
      <c r="F42" s="45">
        <f t="shared" si="4"/>
        <v>4.1808035714285721</v>
      </c>
      <c r="G42" s="40">
        <f t="shared" si="9"/>
        <v>21.428571428571473</v>
      </c>
      <c r="H42" s="60">
        <f t="shared" si="10"/>
        <v>7.3675442290764101E-2</v>
      </c>
      <c r="I42" s="32">
        <f t="shared" si="5"/>
        <v>0.30802255225580621</v>
      </c>
      <c r="J42" s="32">
        <f t="shared" si="6"/>
        <v>10.73971965531911</v>
      </c>
      <c r="K42" s="61">
        <f t="shared" si="7"/>
        <v>0.95370343626831355</v>
      </c>
      <c r="V42" s="25"/>
    </row>
    <row r="43" spans="1:24" ht="16.5" customHeight="1">
      <c r="A43" s="1">
        <f t="shared" si="13"/>
        <v>35.866666666666667</v>
      </c>
      <c r="B43" s="12">
        <v>50779</v>
      </c>
      <c r="C43" s="74">
        <v>4.8750000000000002E-2</v>
      </c>
      <c r="D43" s="78">
        <f t="shared" si="3"/>
        <v>0.52232142857142971</v>
      </c>
      <c r="E43" s="73">
        <f t="shared" si="14"/>
        <v>3.5714285714285712</v>
      </c>
      <c r="F43" s="45">
        <f t="shared" si="4"/>
        <v>4.0937500000000009</v>
      </c>
      <c r="G43" s="40">
        <f t="shared" si="9"/>
        <v>17.857142857142904</v>
      </c>
      <c r="H43" s="60">
        <f t="shared" si="10"/>
        <v>6.8365467593921106E-2</v>
      </c>
      <c r="I43" s="32">
        <f t="shared" si="5"/>
        <v>0.27987113296261457</v>
      </c>
      <c r="J43" s="32">
        <f t="shared" si="6"/>
        <v>10.038044635592442</v>
      </c>
      <c r="K43" s="61">
        <f t="shared" si="7"/>
        <v>0.96062854648625073</v>
      </c>
      <c r="V43" s="25"/>
    </row>
    <row r="44" spans="1:24" ht="16.5" customHeight="1">
      <c r="A44" s="1">
        <f t="shared" si="13"/>
        <v>36.866666666666667</v>
      </c>
      <c r="B44" s="12">
        <v>50960</v>
      </c>
      <c r="C44" s="74">
        <v>4.8750000000000002E-2</v>
      </c>
      <c r="D44" s="78">
        <f t="shared" si="3"/>
        <v>0.43526785714285832</v>
      </c>
      <c r="E44" s="73">
        <f t="shared" si="14"/>
        <v>3.5714285714285712</v>
      </c>
      <c r="F44" s="45">
        <f t="shared" si="4"/>
        <v>4.0066964285714297</v>
      </c>
      <c r="G44" s="40">
        <f t="shared" si="9"/>
        <v>14.285714285714333</v>
      </c>
      <c r="H44" s="60">
        <f t="shared" si="10"/>
        <v>6.3438196148045162E-2</v>
      </c>
      <c r="I44" s="32">
        <f t="shared" si="5"/>
        <v>0.25417759394138639</v>
      </c>
      <c r="J44" s="32">
        <f t="shared" si="6"/>
        <v>9.3706806299724459</v>
      </c>
      <c r="K44" s="61">
        <f t="shared" si="7"/>
        <v>0.96641456223561106</v>
      </c>
      <c r="V44" s="8"/>
    </row>
    <row r="45" spans="1:24" ht="16.5" customHeight="1">
      <c r="A45" s="1">
        <f t="shared" si="13"/>
        <v>37.866666666666667</v>
      </c>
      <c r="B45" s="12">
        <v>51144</v>
      </c>
      <c r="C45" s="74">
        <v>4.8750000000000002E-2</v>
      </c>
      <c r="D45" s="78">
        <f t="shared" si="3"/>
        <v>0.34821428571428686</v>
      </c>
      <c r="E45" s="73">
        <f t="shared" si="14"/>
        <v>3.5714285714285712</v>
      </c>
      <c r="F45" s="45">
        <f t="shared" si="4"/>
        <v>3.9196428571428581</v>
      </c>
      <c r="G45" s="40">
        <f t="shared" si="9"/>
        <v>10.714285714285761</v>
      </c>
      <c r="H45" s="60">
        <f t="shared" si="10"/>
        <v>5.8866045565900499E-2</v>
      </c>
      <c r="I45" s="32">
        <f t="shared" si="5"/>
        <v>0.23073387503062789</v>
      </c>
      <c r="J45" s="32">
        <f t="shared" si="6"/>
        <v>8.7371227344931093</v>
      </c>
      <c r="K45" s="61">
        <f t="shared" si="7"/>
        <v>0.97106148351639443</v>
      </c>
    </row>
    <row r="46" spans="1:24" ht="16.5" customHeight="1">
      <c r="A46" s="1">
        <f t="shared" si="13"/>
        <v>38.866666666666667</v>
      </c>
      <c r="B46" s="12">
        <v>51326</v>
      </c>
      <c r="C46" s="74">
        <v>4.8750000000000002E-2</v>
      </c>
      <c r="D46" s="78">
        <f t="shared" si="3"/>
        <v>0.26116071428571547</v>
      </c>
      <c r="E46" s="73">
        <f t="shared" si="14"/>
        <v>3.5714285714285712</v>
      </c>
      <c r="F46" s="45">
        <f t="shared" si="4"/>
        <v>3.8325892857142865</v>
      </c>
      <c r="G46" s="40">
        <f t="shared" si="9"/>
        <v>7.1428571428571903</v>
      </c>
      <c r="H46" s="60">
        <f t="shared" si="10"/>
        <v>5.462342139237282E-2</v>
      </c>
      <c r="I46" s="32">
        <f t="shared" si="5"/>
        <v>0.20934913957746462</v>
      </c>
      <c r="J46" s="32">
        <f t="shared" si="6"/>
        <v>8.1367032249107911</v>
      </c>
      <c r="K46" s="61">
        <f t="shared" si="7"/>
        <v>0.97456931032860139</v>
      </c>
    </row>
    <row r="47" spans="1:24" ht="16.5" customHeight="1">
      <c r="A47" s="1">
        <f t="shared" si="13"/>
        <v>39.866666666666667</v>
      </c>
      <c r="B47" s="12">
        <v>51510</v>
      </c>
      <c r="C47" s="74">
        <v>4.8750000000000002E-2</v>
      </c>
      <c r="D47" s="78">
        <f t="shared" si="3"/>
        <v>0.17410714285714401</v>
      </c>
      <c r="E47" s="73">
        <f t="shared" si="14"/>
        <v>3.5714285714285712</v>
      </c>
      <c r="F47" s="45">
        <f t="shared" si="4"/>
        <v>3.7455357142857153</v>
      </c>
      <c r="G47" s="40">
        <f t="shared" si="9"/>
        <v>3.5714285714286191</v>
      </c>
      <c r="H47" s="60">
        <f t="shared" si="10"/>
        <v>5.0686573829194323E-2</v>
      </c>
      <c r="I47" s="32">
        <f t="shared" si="5"/>
        <v>0.18984837251202699</v>
      </c>
      <c r="J47" s="32">
        <f t="shared" si="6"/>
        <v>7.568621784146143</v>
      </c>
      <c r="K47" s="61">
        <f t="shared" si="7"/>
        <v>0.97693804267223139</v>
      </c>
    </row>
    <row r="48" spans="1:24" ht="16.5" customHeight="1" thickBot="1">
      <c r="A48" s="1">
        <f t="shared" si="13"/>
        <v>40.866666666666667</v>
      </c>
      <c r="B48" s="12">
        <v>51691</v>
      </c>
      <c r="C48" s="76">
        <v>4.8750000000000002E-2</v>
      </c>
      <c r="D48" s="78">
        <f t="shared" si="3"/>
        <v>8.705357142857259E-2</v>
      </c>
      <c r="E48" s="73">
        <f>1/28*100</f>
        <v>3.5714285714285712</v>
      </c>
      <c r="F48" s="88">
        <f t="shared" si="4"/>
        <v>3.6584821428571437</v>
      </c>
      <c r="G48" s="87">
        <f t="shared" si="9"/>
        <v>4.7961634663806763E-14</v>
      </c>
      <c r="H48" s="62">
        <f>(1+$F$52)^-A48</f>
        <v>4.703346478587845E-2</v>
      </c>
      <c r="I48" s="63">
        <f t="shared" si="5"/>
        <v>0.17207109103583659</v>
      </c>
      <c r="J48" s="63">
        <f>I48*A48</f>
        <v>7.0319719203311886</v>
      </c>
      <c r="K48" s="54">
        <f t="shared" si="7"/>
        <v>0.97816768054728465</v>
      </c>
    </row>
    <row r="49" spans="1:22" ht="16.5" customHeight="1" thickBot="1">
      <c r="B49" s="16" t="s">
        <v>5</v>
      </c>
      <c r="C49" s="77"/>
      <c r="D49" s="52">
        <f>SUM(D8:D48)</f>
        <v>52.846974206349223</v>
      </c>
      <c r="E49" s="35">
        <f>SUM(E8:E48)</f>
        <v>99.999999999999957</v>
      </c>
      <c r="F49" s="14">
        <f>SUM(F8:F48)</f>
        <v>152.84697420634922</v>
      </c>
    </row>
    <row r="50" spans="1:22" ht="16.5" customHeight="1" thickBot="1">
      <c r="V50" s="8"/>
    </row>
    <row r="51" spans="1:22" ht="16.5" customHeight="1" thickBot="1">
      <c r="E51" s="46" t="s">
        <v>39</v>
      </c>
      <c r="F51" s="53">
        <f>XIRR(F7:F48,B7:B48)</f>
        <v>0.16137353777885441</v>
      </c>
      <c r="H51" s="34" t="s">
        <v>19</v>
      </c>
      <c r="I51" s="48">
        <f>SUM(I8:I48)</f>
        <v>33.495575803150082</v>
      </c>
      <c r="J51" s="52">
        <f>SUM(J8:J48)</f>
        <v>561.1572900162945</v>
      </c>
      <c r="K51" s="52">
        <f t="shared" ref="K51" si="15">SUM(K8:K48)</f>
        <v>23.928598032168331</v>
      </c>
      <c r="V51" s="25"/>
    </row>
    <row r="52" spans="1:22" ht="16.5" customHeight="1" thickBot="1">
      <c r="E52" s="38" t="s">
        <v>25</v>
      </c>
      <c r="F52" s="55">
        <f>((1+F51)^(1/2))-1</f>
        <v>7.7670421686915514E-2</v>
      </c>
      <c r="H52" s="32"/>
      <c r="I52" s="32"/>
      <c r="J52" s="32"/>
      <c r="K52" s="32"/>
      <c r="V52" s="24"/>
    </row>
    <row r="53" spans="1:22" ht="16.5" customHeight="1" thickBot="1">
      <c r="E53" s="16" t="s">
        <v>68</v>
      </c>
      <c r="F53" s="131">
        <f>(((1+F51)^(0.5))-1)*2</f>
        <v>0.15534084337383103</v>
      </c>
      <c r="H53" s="136" t="s">
        <v>59</v>
      </c>
      <c r="I53" s="136"/>
      <c r="J53" s="136"/>
      <c r="K53" s="85">
        <f>K51/2</f>
        <v>11.964299016084166</v>
      </c>
      <c r="V53" s="25"/>
    </row>
    <row r="54" spans="1:22" ht="16.5" customHeight="1">
      <c r="V54" s="25"/>
    </row>
    <row r="55" spans="1:22" ht="16.5" customHeight="1">
      <c r="B55" s="7" t="s">
        <v>50</v>
      </c>
      <c r="C55" s="128">
        <f>-F7</f>
        <v>33.49</v>
      </c>
      <c r="V55" s="8"/>
    </row>
    <row r="56" spans="1:22" ht="16.5" customHeight="1" thickBot="1">
      <c r="A56" s="150" t="s">
        <v>52</v>
      </c>
      <c r="B56" s="150"/>
      <c r="C56" s="150"/>
      <c r="D56" s="150"/>
      <c r="E56" s="150"/>
      <c r="F56" s="113">
        <f>SUM(E58:E98)/2</f>
        <v>8.3779828309390076</v>
      </c>
      <c r="G56" s="138" t="s">
        <v>56</v>
      </c>
      <c r="H56" s="139"/>
      <c r="I56" s="139"/>
      <c r="J56" s="139"/>
      <c r="K56" s="139"/>
      <c r="V56" s="8"/>
    </row>
    <row r="57" spans="1:22" ht="16.5" customHeight="1">
      <c r="A57" s="98" t="s">
        <v>47</v>
      </c>
      <c r="B57" s="99" t="s">
        <v>49</v>
      </c>
      <c r="C57" s="98" t="s">
        <v>17</v>
      </c>
      <c r="D57" s="100" t="s">
        <v>48</v>
      </c>
      <c r="E57" s="101" t="s">
        <v>51</v>
      </c>
      <c r="G57" s="114" t="s">
        <v>1</v>
      </c>
      <c r="H57" s="114" t="s">
        <v>57</v>
      </c>
      <c r="I57" s="122" t="s">
        <v>60</v>
      </c>
      <c r="J57" s="7" t="s">
        <v>61</v>
      </c>
      <c r="K57" s="123" t="s">
        <v>64</v>
      </c>
    </row>
    <row r="58" spans="1:22" ht="16.5" customHeight="1" thickBot="1">
      <c r="A58" s="1">
        <v>0.8666666666666667</v>
      </c>
      <c r="B58" s="90">
        <f>(1+$F$52)^A58</f>
        <v>1.0669756330773388</v>
      </c>
      <c r="C58" s="90">
        <v>9.9252036626724202E-2</v>
      </c>
      <c r="D58" s="7">
        <v>0.10590277777777779</v>
      </c>
      <c r="E58" s="7">
        <f>D58/B58/$C$55*A58</f>
        <v>2.5685604783104656E-3</v>
      </c>
      <c r="G58" s="116">
        <v>44225</v>
      </c>
      <c r="H58" s="115">
        <v>33.49</v>
      </c>
      <c r="I58" s="117">
        <f>LN(H58/H59)</f>
        <v>-6.2509505522028259E-3</v>
      </c>
      <c r="J58" s="7">
        <f>(I58-$K$62)^2</f>
        <v>2.7247898800310446E-5</v>
      </c>
      <c r="K58" s="124">
        <f>+STDEV(I58:I97)</f>
        <v>8.6576986086683554E-3</v>
      </c>
      <c r="L58" s="111"/>
    </row>
    <row r="59" spans="1:22" ht="16.5" customHeight="1">
      <c r="A59" s="1">
        <v>1.8666666666666667</v>
      </c>
      <c r="B59" s="90">
        <f t="shared" ref="B59:B98" si="16">(1+$F$52)^A59</f>
        <v>1.1498480804281193</v>
      </c>
      <c r="C59" s="42">
        <v>1.0870277656053686</v>
      </c>
      <c r="D59" s="7">
        <v>1.25</v>
      </c>
      <c r="E59" s="7">
        <f t="shared" ref="E59:E98" si="17">D59/B59/$C$55*A59</f>
        <v>6.0592821132029032E-2</v>
      </c>
      <c r="G59" s="116">
        <v>44224</v>
      </c>
      <c r="H59" s="115">
        <v>33.700000000000003</v>
      </c>
      <c r="I59" s="117">
        <f t="shared" ref="I59:I98" si="18">LN(H59/H60)</f>
        <v>-5.6221482606438472E-3</v>
      </c>
      <c r="J59" s="7">
        <f t="shared" ref="J59:J97" si="19">(I59-$K$62)^2</f>
        <v>2.1078655573201573E-5</v>
      </c>
      <c r="K59" s="126" t="s">
        <v>58</v>
      </c>
      <c r="L59" s="111"/>
    </row>
    <row r="60" spans="1:22" ht="16.5" customHeight="1" thickBot="1">
      <c r="A60" s="1">
        <v>2.8666666666666667</v>
      </c>
      <c r="B60" s="90">
        <f t="shared" si="16"/>
        <v>1.2391572657108616</v>
      </c>
      <c r="C60" s="42">
        <v>1.0086469647931025</v>
      </c>
      <c r="D60" s="7">
        <v>1.25</v>
      </c>
      <c r="E60" s="7">
        <f t="shared" si="17"/>
        <v>8.6346678123101789E-2</v>
      </c>
      <c r="G60" s="116">
        <v>44223</v>
      </c>
      <c r="H60" s="115">
        <v>33.89</v>
      </c>
      <c r="I60" s="117">
        <f t="shared" si="18"/>
        <v>8.5939186498014981E-3</v>
      </c>
      <c r="J60" s="7">
        <f t="shared" si="19"/>
        <v>9.263903129662426E-5</v>
      </c>
      <c r="K60" s="127">
        <f>K58*SQRT(252)</f>
        <v>0.1374367046681183</v>
      </c>
      <c r="L60" s="111"/>
    </row>
    <row r="61" spans="1:22" ht="16.5" customHeight="1">
      <c r="A61" s="1">
        <v>3.8666666666666667</v>
      </c>
      <c r="B61" s="90">
        <f t="shared" si="16"/>
        <v>1.3354031330750296</v>
      </c>
      <c r="C61" s="42">
        <v>1.3102850032792561</v>
      </c>
      <c r="D61" s="7">
        <v>1.7500000000000002</v>
      </c>
      <c r="E61" s="7">
        <f t="shared" si="17"/>
        <v>0.15130289744585537</v>
      </c>
      <c r="G61" s="116">
        <v>44222</v>
      </c>
      <c r="H61" s="115">
        <v>33.6</v>
      </c>
      <c r="I61" s="117">
        <f t="shared" si="18"/>
        <v>0</v>
      </c>
      <c r="J61" s="7">
        <f t="shared" si="19"/>
        <v>1.062958030838962E-6</v>
      </c>
      <c r="K61" s="124" t="s">
        <v>62</v>
      </c>
      <c r="L61" s="111"/>
    </row>
    <row r="62" spans="1:22" ht="16.5" customHeight="1" thickBot="1">
      <c r="A62" s="1">
        <v>4.8666666666666671</v>
      </c>
      <c r="B62" s="90">
        <f t="shared" si="16"/>
        <v>1.4391244575429953</v>
      </c>
      <c r="C62" s="42">
        <v>1.2158061030166336</v>
      </c>
      <c r="D62" s="7">
        <v>1.7500000000000002</v>
      </c>
      <c r="E62" s="7">
        <f t="shared" si="17"/>
        <v>0.1767079742543522</v>
      </c>
      <c r="G62" s="116">
        <v>44221</v>
      </c>
      <c r="H62" s="115">
        <v>33.6</v>
      </c>
      <c r="I62" s="117">
        <f t="shared" si="18"/>
        <v>-2.9717703891574817E-3</v>
      </c>
      <c r="J62" s="7">
        <f t="shared" si="19"/>
        <v>3.7665952926312445E-6</v>
      </c>
      <c r="K62" s="125">
        <f>AVERAGE(I58:I97)</f>
        <v>-1.030998560056687E-3</v>
      </c>
      <c r="L62" s="111"/>
    </row>
    <row r="63" spans="1:22" ht="16.5" customHeight="1">
      <c r="A63" s="1">
        <v>5.8666666666666671</v>
      </c>
      <c r="B63" s="90">
        <f t="shared" si="16"/>
        <v>1.5509018610203134</v>
      </c>
      <c r="C63" s="42">
        <v>1.1281396615492312</v>
      </c>
      <c r="D63" s="7">
        <v>1.7500000000000002</v>
      </c>
      <c r="E63" s="7">
        <f t="shared" si="17"/>
        <v>0.19766510028586001</v>
      </c>
      <c r="G63" s="116">
        <v>44218</v>
      </c>
      <c r="H63" s="115">
        <v>33.700000000000003</v>
      </c>
      <c r="I63" s="117">
        <f t="shared" si="18"/>
        <v>8.941937375661433E-3</v>
      </c>
      <c r="J63" s="7">
        <f t="shared" si="19"/>
        <v>9.9459451177937849E-5</v>
      </c>
      <c r="K63" s="112"/>
      <c r="L63" s="111"/>
    </row>
    <row r="64" spans="1:22" ht="16.5" customHeight="1" thickBot="1">
      <c r="A64" s="1">
        <v>6.8666666666666671</v>
      </c>
      <c r="B64" s="90">
        <f t="shared" si="16"/>
        <v>1.6713610625607831</v>
      </c>
      <c r="C64" s="42">
        <v>1.0467944623757177</v>
      </c>
      <c r="D64" s="7">
        <v>1.7500000000000002</v>
      </c>
      <c r="E64" s="7">
        <f t="shared" si="17"/>
        <v>0.21468346022261661</v>
      </c>
      <c r="G64" s="116">
        <v>44217</v>
      </c>
      <c r="H64" s="115">
        <v>33.4</v>
      </c>
      <c r="I64" s="117">
        <f t="shared" si="18"/>
        <v>-1.397376684702557E-2</v>
      </c>
      <c r="J64" s="7">
        <f t="shared" si="19"/>
        <v>1.6751525093016743E-4</v>
      </c>
      <c r="K64" s="112"/>
      <c r="L64" s="111"/>
    </row>
    <row r="65" spans="1:17" ht="16.5" customHeight="1">
      <c r="A65" s="1">
        <v>7.8666666666666671</v>
      </c>
      <c r="B65" s="90">
        <f t="shared" si="16"/>
        <v>1.8011763810809702</v>
      </c>
      <c r="C65" s="42">
        <v>0.9713147084605438</v>
      </c>
      <c r="D65" s="7">
        <v>1.7500000000000002</v>
      </c>
      <c r="E65" s="7">
        <f t="shared" si="17"/>
        <v>0.2282219469505746</v>
      </c>
      <c r="G65" s="116">
        <v>44216</v>
      </c>
      <c r="H65" s="115">
        <v>33.869999999999997</v>
      </c>
      <c r="I65" s="117">
        <f t="shared" si="18"/>
        <v>5.9066747139611584E-4</v>
      </c>
      <c r="J65" s="7">
        <f t="shared" si="19"/>
        <v>2.6298007175678832E-6</v>
      </c>
      <c r="K65" s="123" t="s">
        <v>64</v>
      </c>
      <c r="L65" s="111"/>
      <c r="M65" s="104"/>
      <c r="N65" s="104"/>
      <c r="O65" s="144"/>
      <c r="P65" s="144"/>
      <c r="Q65" s="104"/>
    </row>
    <row r="66" spans="1:17" ht="16.5" customHeight="1" thickBot="1">
      <c r="A66" s="1">
        <v>8.8666666666666671</v>
      </c>
      <c r="B66" s="90">
        <f t="shared" si="16"/>
        <v>1.9410745101320415</v>
      </c>
      <c r="C66" s="42">
        <v>0.90127746829173161</v>
      </c>
      <c r="D66" s="7">
        <v>1.7500000000000002</v>
      </c>
      <c r="E66" s="7">
        <f t="shared" si="17"/>
        <v>0.23869376593892966</v>
      </c>
      <c r="G66" s="116">
        <v>44215</v>
      </c>
      <c r="H66" s="115">
        <v>33.85</v>
      </c>
      <c r="I66" s="117">
        <f t="shared" si="18"/>
        <v>1.4781968693109652E-3</v>
      </c>
      <c r="J66" s="7">
        <f t="shared" si="19"/>
        <v>6.2960617027595166E-6</v>
      </c>
      <c r="K66" s="154">
        <f>SQRT(SUM(J58:J97)/(COUNT(J58:J97)-1))</f>
        <v>8.6576986086683537E-3</v>
      </c>
      <c r="L66" s="111" t="s">
        <v>69</v>
      </c>
      <c r="M66" s="104"/>
      <c r="N66" s="105"/>
      <c r="O66" s="144"/>
      <c r="P66" s="144"/>
      <c r="Q66" s="105"/>
    </row>
    <row r="67" spans="1:17" ht="16.5" customHeight="1">
      <c r="A67" s="1">
        <v>9.8666666666666671</v>
      </c>
      <c r="B67" s="90">
        <f t="shared" si="16"/>
        <v>2.0918385858597204</v>
      </c>
      <c r="C67" s="42">
        <v>0.83629030609222998</v>
      </c>
      <c r="D67" s="7">
        <v>1.7500000000000002</v>
      </c>
      <c r="E67" s="7">
        <f t="shared" si="17"/>
        <v>0.24647063715930798</v>
      </c>
      <c r="G67" s="116">
        <v>44214</v>
      </c>
      <c r="H67" s="115">
        <v>33.799999999999997</v>
      </c>
      <c r="I67" s="117">
        <f t="shared" si="18"/>
        <v>4.4477463982362702E-3</v>
      </c>
      <c r="J67" s="7">
        <f t="shared" si="19"/>
        <v>3.0016646318020494E-5</v>
      </c>
      <c r="K67" s="32"/>
      <c r="L67" s="111"/>
    </row>
    <row r="68" spans="1:17" ht="16.5" customHeight="1">
      <c r="A68" s="1">
        <v>10.866666666666667</v>
      </c>
      <c r="B68" s="90">
        <f t="shared" si="16"/>
        <v>2.2543125709244061</v>
      </c>
      <c r="C68" s="42">
        <v>0.77598908290632562</v>
      </c>
      <c r="D68" s="7">
        <v>1.7500000000000002</v>
      </c>
      <c r="E68" s="7">
        <f t="shared" si="17"/>
        <v>0.25188662864006323</v>
      </c>
      <c r="G68" s="116">
        <v>44211</v>
      </c>
      <c r="H68" s="115">
        <v>33.65</v>
      </c>
      <c r="I68" s="117">
        <f t="shared" si="18"/>
        <v>-4.4477463982362537E-3</v>
      </c>
      <c r="J68" s="7">
        <f t="shared" si="19"/>
        <v>1.1674165789704744E-5</v>
      </c>
      <c r="L68" s="111"/>
    </row>
    <row r="69" spans="1:17" ht="16.5" customHeight="1">
      <c r="A69" s="1">
        <v>11.866666666666667</v>
      </c>
      <c r="B69" s="90">
        <f t="shared" si="16"/>
        <v>2.4294059789222189</v>
      </c>
      <c r="C69" s="42">
        <v>0.72003591624006136</v>
      </c>
      <c r="D69" s="7">
        <v>1.7500000000000002</v>
      </c>
      <c r="E69" s="7">
        <f t="shared" si="17"/>
        <v>0.25524165292700385</v>
      </c>
      <c r="G69" s="116">
        <v>44210</v>
      </c>
      <c r="H69" s="115">
        <v>33.799999999999997</v>
      </c>
      <c r="I69" s="117">
        <f t="shared" si="18"/>
        <v>-1.322576221926125E-2</v>
      </c>
      <c r="J69" s="7">
        <f t="shared" si="19"/>
        <v>1.4871226070385627E-4</v>
      </c>
      <c r="L69" s="111"/>
    </row>
    <row r="70" spans="1:17" ht="16.5" customHeight="1">
      <c r="A70" s="1">
        <v>12.866666666666667</v>
      </c>
      <c r="B70" s="90">
        <f t="shared" si="16"/>
        <v>2.6180989657538216</v>
      </c>
      <c r="C70" s="42">
        <v>0.66811728682302896</v>
      </c>
      <c r="D70" s="7">
        <v>1.7500000000000002</v>
      </c>
      <c r="E70" s="7">
        <f t="shared" si="17"/>
        <v>0.2568046551277175</v>
      </c>
      <c r="G70" s="116">
        <v>44209</v>
      </c>
      <c r="H70" s="115">
        <v>34.25</v>
      </c>
      <c r="I70" s="117">
        <f t="shared" si="18"/>
        <v>-1.3053122244579329E-2</v>
      </c>
      <c r="J70" s="7">
        <f t="shared" si="19"/>
        <v>1.4453145788596028E-4</v>
      </c>
      <c r="L70" s="111"/>
    </row>
    <row r="71" spans="1:17" ht="16.5" customHeight="1">
      <c r="A71" s="1">
        <v>13.866666666666667</v>
      </c>
      <c r="B71" s="90">
        <f t="shared" si="16"/>
        <v>2.821447816441998</v>
      </c>
      <c r="C71" s="42">
        <v>1.8851306122572513</v>
      </c>
      <c r="D71" s="7">
        <v>5.3214285714285712</v>
      </c>
      <c r="E71" s="7">
        <f t="shared" si="17"/>
        <v>0.78093186339319476</v>
      </c>
      <c r="G71" s="116">
        <v>44208</v>
      </c>
      <c r="H71" s="115">
        <v>34.700000000000003</v>
      </c>
      <c r="I71" s="117">
        <f t="shared" si="18"/>
        <v>5.7803629154995493E-3</v>
      </c>
      <c r="J71" s="7">
        <f t="shared" si="19"/>
        <v>4.6394645150691628E-5</v>
      </c>
      <c r="L71" s="111"/>
    </row>
    <row r="72" spans="1:17" ht="16.5" customHeight="1">
      <c r="A72" s="1">
        <v>14.866666666666667</v>
      </c>
      <c r="B72" s="90">
        <f t="shared" si="16"/>
        <v>3.040590858112675</v>
      </c>
      <c r="C72" s="42">
        <v>1.7286577981586373</v>
      </c>
      <c r="D72" s="7">
        <v>5.2589285714285712</v>
      </c>
      <c r="E72" s="7">
        <f t="shared" si="17"/>
        <v>0.76778167634151129</v>
      </c>
      <c r="G72" s="116">
        <v>44207</v>
      </c>
      <c r="H72" s="115">
        <v>34.5</v>
      </c>
      <c r="I72" s="117">
        <f t="shared" si="18"/>
        <v>-2.8943580263645261E-3</v>
      </c>
      <c r="J72" s="7">
        <f t="shared" si="19"/>
        <v>3.4721085006790351E-6</v>
      </c>
      <c r="L72" s="111"/>
    </row>
    <row r="73" spans="1:17" ht="16.5" customHeight="1">
      <c r="A73" s="1">
        <v>15.866666666666667</v>
      </c>
      <c r="B73" s="90">
        <f t="shared" si="16"/>
        <v>3.2767548322396669</v>
      </c>
      <c r="C73" s="42">
        <v>1.584948912619538</v>
      </c>
      <c r="D73" s="7">
        <v>5.1964285714285712</v>
      </c>
      <c r="E73" s="7">
        <f t="shared" si="17"/>
        <v>0.75133144225117987</v>
      </c>
      <c r="G73" s="116">
        <v>44204</v>
      </c>
      <c r="H73" s="115">
        <v>34.6</v>
      </c>
      <c r="I73" s="117">
        <f t="shared" si="18"/>
        <v>-7.1994551428543442E-3</v>
      </c>
      <c r="J73" s="7">
        <f t="shared" si="19"/>
        <v>3.8049856613859755E-5</v>
      </c>
      <c r="L73" s="111"/>
    </row>
    <row r="74" spans="1:17" ht="16.5" customHeight="1">
      <c r="A74" s="1">
        <v>16.866666666666667</v>
      </c>
      <c r="B74" s="90">
        <f t="shared" si="16"/>
        <v>3.5312617618243598</v>
      </c>
      <c r="C74" s="42">
        <v>1.4529767903555451</v>
      </c>
      <c r="D74" s="7">
        <v>5.1339285714285712</v>
      </c>
      <c r="E74" s="7">
        <f t="shared" si="17"/>
        <v>0.732207250227773</v>
      </c>
      <c r="G74" s="116">
        <v>44203</v>
      </c>
      <c r="H74" s="115">
        <v>34.85</v>
      </c>
      <c r="I74" s="117">
        <f t="shared" si="18"/>
        <v>7.1994551428543286E-3</v>
      </c>
      <c r="J74" s="7">
        <f t="shared" si="19"/>
        <v>6.7740368155761653E-5</v>
      </c>
      <c r="L74" s="111"/>
    </row>
    <row r="75" spans="1:17" ht="16.5" customHeight="1">
      <c r="A75" s="1">
        <v>17.866666666666667</v>
      </c>
      <c r="B75" s="90">
        <f t="shared" si="16"/>
        <v>3.8055363519521381</v>
      </c>
      <c r="C75" s="42">
        <v>1.4865469798059929</v>
      </c>
      <c r="D75" s="7">
        <v>5.6607142857142856</v>
      </c>
      <c r="E75" s="7">
        <f t="shared" si="17"/>
        <v>0.79356727070565813</v>
      </c>
      <c r="G75" s="116">
        <v>44202</v>
      </c>
      <c r="H75" s="115">
        <v>34.6</v>
      </c>
      <c r="I75" s="117">
        <f t="shared" si="18"/>
        <v>2.8943580263645565E-3</v>
      </c>
      <c r="J75" s="7">
        <f t="shared" si="19"/>
        <v>1.5408424330560637E-5</v>
      </c>
      <c r="L75" s="111"/>
    </row>
    <row r="76" spans="1:17" ht="16.5" customHeight="1">
      <c r="A76" s="1">
        <v>18.866666666666667</v>
      </c>
      <c r="B76" s="90">
        <f t="shared" si="16"/>
        <v>4.1011139651531465</v>
      </c>
      <c r="C76" s="42">
        <v>1.3581460683875177</v>
      </c>
      <c r="D76" s="7">
        <v>5.5736607142857144</v>
      </c>
      <c r="E76" s="7">
        <f t="shared" si="17"/>
        <v>0.7656296069510502</v>
      </c>
      <c r="G76" s="116">
        <v>44201</v>
      </c>
      <c r="H76" s="115">
        <v>34.5</v>
      </c>
      <c r="I76" s="117">
        <f t="shared" si="18"/>
        <v>-8.6580627431145415E-3</v>
      </c>
      <c r="J76" s="7">
        <f t="shared" si="19"/>
        <v>5.8172108052483978E-5</v>
      </c>
      <c r="L76" s="111"/>
    </row>
    <row r="77" spans="1:17" ht="16.5" customHeight="1">
      <c r="A77" s="1">
        <v>19.866666666666667</v>
      </c>
      <c r="B77" s="90">
        <f t="shared" si="16"/>
        <v>4.4196492162126901</v>
      </c>
      <c r="C77" s="42">
        <v>1.2405331257885044</v>
      </c>
      <c r="D77" s="7">
        <v>5.4866071428571432</v>
      </c>
      <c r="E77" s="7">
        <f t="shared" si="17"/>
        <v>0.73642058696751944</v>
      </c>
      <c r="G77" s="116">
        <v>44200</v>
      </c>
      <c r="H77" s="115">
        <v>34.799999999999997</v>
      </c>
      <c r="I77" s="117">
        <f t="shared" si="18"/>
        <v>-3.1119908713804632E-2</v>
      </c>
      <c r="J77" s="7">
        <f t="shared" si="19"/>
        <v>9.0534251424031619E-4</v>
      </c>
      <c r="L77" s="111"/>
    </row>
    <row r="78" spans="1:17" ht="16.5" customHeight="1">
      <c r="A78" s="1">
        <v>20.866666666666667</v>
      </c>
      <c r="B78" s="90">
        <f t="shared" si="16"/>
        <v>4.7629252345441753</v>
      </c>
      <c r="C78" s="42">
        <v>1.1328199903196705</v>
      </c>
      <c r="D78" s="7">
        <v>5.3995535714285712</v>
      </c>
      <c r="E78" s="7">
        <f t="shared" si="17"/>
        <v>0.70635336922068148</v>
      </c>
      <c r="G78" s="116">
        <v>44195</v>
      </c>
      <c r="H78" s="115">
        <v>35.9</v>
      </c>
      <c r="I78" s="117">
        <f t="shared" si="18"/>
        <v>4.187026354216453E-3</v>
      </c>
      <c r="J78" s="7">
        <f t="shared" si="19"/>
        <v>2.7227784005975208E-5</v>
      </c>
      <c r="L78" s="111"/>
    </row>
    <row r="79" spans="1:17" ht="16.5" customHeight="1">
      <c r="A79" s="1">
        <v>21.866666666666667</v>
      </c>
      <c r="B79" s="90">
        <f t="shared" si="16"/>
        <v>5.1328636459744716</v>
      </c>
      <c r="C79" s="42">
        <v>1.0341904941602551</v>
      </c>
      <c r="D79" s="7">
        <v>5.3125</v>
      </c>
      <c r="E79" s="7">
        <f t="shared" si="17"/>
        <v>0.67578205126096402</v>
      </c>
      <c r="G79" s="116">
        <v>44194</v>
      </c>
      <c r="H79" s="115">
        <v>35.75</v>
      </c>
      <c r="I79" s="117">
        <f t="shared" si="18"/>
        <v>1.3995803544232636E-3</v>
      </c>
      <c r="J79" s="7">
        <f t="shared" si="19"/>
        <v>5.907713859514535E-6</v>
      </c>
      <c r="L79" s="111"/>
    </row>
    <row r="80" spans="1:17" ht="16.5" customHeight="1">
      <c r="A80" s="1">
        <v>22.866666666666667</v>
      </c>
      <c r="B80" s="90">
        <f t="shared" si="16"/>
        <v>5.5315353298187491</v>
      </c>
      <c r="C80" s="42">
        <v>0.9438946987815201</v>
      </c>
      <c r="D80" s="7">
        <v>5.2254464285714288</v>
      </c>
      <c r="E80" s="7">
        <f t="shared" si="17"/>
        <v>0.64500847730637567</v>
      </c>
      <c r="G80" s="116">
        <v>44193</v>
      </c>
      <c r="H80" s="115">
        <v>35.700000000000003</v>
      </c>
      <c r="I80" s="117">
        <f t="shared" si="18"/>
        <v>0</v>
      </c>
      <c r="J80" s="7">
        <f t="shared" si="19"/>
        <v>1.062958030838962E-6</v>
      </c>
      <c r="L80" s="111"/>
    </row>
    <row r="81" spans="1:12" ht="16.5" customHeight="1">
      <c r="A81" s="1">
        <v>23.866666666666667</v>
      </c>
      <c r="B81" s="90">
        <f t="shared" si="16"/>
        <v>5.9611720114618425</v>
      </c>
      <c r="C81" s="42">
        <v>0.86124358737497408</v>
      </c>
      <c r="D81" s="7">
        <v>5.1383928571428577</v>
      </c>
      <c r="E81" s="7">
        <f t="shared" si="17"/>
        <v>0.61428833959591611</v>
      </c>
      <c r="G81" s="116">
        <v>44188</v>
      </c>
      <c r="H81" s="115">
        <v>35.700000000000003</v>
      </c>
      <c r="I81" s="117">
        <f t="shared" si="18"/>
        <v>-6.9783953814622577E-3</v>
      </c>
      <c r="J81" s="7">
        <f t="shared" si="19"/>
        <v>3.537152895126509E-5</v>
      </c>
      <c r="L81" s="111"/>
    </row>
    <row r="82" spans="1:12" ht="16.5" customHeight="1">
      <c r="A82" s="1">
        <v>24.866666666666667</v>
      </c>
      <c r="B82" s="90">
        <f t="shared" si="16"/>
        <v>6.4241787553403222</v>
      </c>
      <c r="C82" s="42">
        <v>0.78560417835140495</v>
      </c>
      <c r="D82" s="7">
        <v>5.0513392857142865</v>
      </c>
      <c r="E82" s="7">
        <f t="shared" si="17"/>
        <v>0.58383664223894394</v>
      </c>
      <c r="G82" s="116">
        <v>44187</v>
      </c>
      <c r="H82" s="115">
        <v>35.950000000000003</v>
      </c>
      <c r="I82" s="117">
        <f t="shared" si="18"/>
        <v>1.1188927917806041E-2</v>
      </c>
      <c r="J82" s="7">
        <f t="shared" si="19"/>
        <v>1.4932660312437057E-4</v>
      </c>
      <c r="L82" s="111"/>
    </row>
    <row r="83" spans="1:12" ht="16.5" customHeight="1">
      <c r="A83" s="1">
        <v>25.866666666666667</v>
      </c>
      <c r="B83" s="90">
        <f t="shared" si="16"/>
        <v>6.9231474282597283</v>
      </c>
      <c r="C83" s="42">
        <v>0.71639502678281497</v>
      </c>
      <c r="D83" s="7">
        <v>4.9642857142857144</v>
      </c>
      <c r="E83" s="7">
        <f t="shared" si="17"/>
        <v>0.55383258988303219</v>
      </c>
      <c r="G83" s="116">
        <v>44186</v>
      </c>
      <c r="H83" s="115">
        <v>35.549999999999997</v>
      </c>
      <c r="I83" s="117">
        <f t="shared" si="18"/>
        <v>1.4074597678797698E-3</v>
      </c>
      <c r="J83" s="7">
        <f t="shared" si="19"/>
        <v>5.9460790170826604E-6</v>
      </c>
      <c r="L83" s="111"/>
    </row>
    <row r="84" spans="1:12" ht="16.5" customHeight="1">
      <c r="A84" s="1">
        <v>26.866666666666667</v>
      </c>
      <c r="B84" s="90">
        <f t="shared" si="16"/>
        <v>7.4608712084133444</v>
      </c>
      <c r="C84" s="42">
        <v>0.65308208324752492</v>
      </c>
      <c r="D84" s="7">
        <v>4.8772321428571432</v>
      </c>
      <c r="E84" s="7">
        <f t="shared" si="17"/>
        <v>0.52442395769784156</v>
      </c>
      <c r="G84" s="116">
        <v>44183</v>
      </c>
      <c r="H84" s="115">
        <v>35.5</v>
      </c>
      <c r="I84" s="117">
        <f t="shared" si="18"/>
        <v>1.275708300077116E-2</v>
      </c>
      <c r="J84" s="7">
        <f t="shared" si="19"/>
        <v>1.9011119312804087E-4</v>
      </c>
      <c r="L84" s="111"/>
    </row>
    <row r="85" spans="1:12" ht="16.5" customHeight="1">
      <c r="A85" s="1">
        <v>27.866666666666667</v>
      </c>
      <c r="B85" s="90">
        <f t="shared" si="16"/>
        <v>8.040360221322576</v>
      </c>
      <c r="C85" s="42">
        <v>0.59517488192589207</v>
      </c>
      <c r="D85" s="7">
        <v>4.7901785714285721</v>
      </c>
      <c r="E85" s="7">
        <f t="shared" si="17"/>
        <v>0.49573099387450142</v>
      </c>
      <c r="G85" s="116">
        <v>44182</v>
      </c>
      <c r="H85" s="115">
        <v>35.049999999999997</v>
      </c>
      <c r="I85" s="117">
        <f t="shared" si="18"/>
        <v>7.1582267001704487E-3</v>
      </c>
      <c r="J85" s="7">
        <f t="shared" si="19"/>
        <v>6.7063410362742205E-5</v>
      </c>
      <c r="L85" s="111"/>
    </row>
    <row r="86" spans="1:12" ht="16.5" customHeight="1">
      <c r="A86" s="1">
        <v>28.866666666666667</v>
      </c>
      <c r="B86" s="90">
        <f t="shared" si="16"/>
        <v>8.6648583902274012</v>
      </c>
      <c r="C86" s="42">
        <v>0.5422230319957797</v>
      </c>
      <c r="D86" s="7">
        <v>4.703125</v>
      </c>
      <c r="E86" s="7">
        <f t="shared" si="17"/>
        <v>0.46784990102238455</v>
      </c>
      <c r="G86" s="116">
        <v>44181</v>
      </c>
      <c r="H86" s="115">
        <v>34.799999999999997</v>
      </c>
      <c r="I86" s="117">
        <f t="shared" si="18"/>
        <v>0</v>
      </c>
      <c r="J86" s="7">
        <f t="shared" si="19"/>
        <v>1.062958030838962E-6</v>
      </c>
      <c r="L86" s="111"/>
    </row>
    <row r="87" spans="1:12" ht="16.5" customHeight="1">
      <c r="A87" s="1">
        <v>29.866666666666667</v>
      </c>
      <c r="B87" s="90">
        <f t="shared" si="16"/>
        <v>9.3378615952537718</v>
      </c>
      <c r="C87" s="42">
        <v>0.49381298840747317</v>
      </c>
      <c r="D87" s="7">
        <v>4.6160714285714288</v>
      </c>
      <c r="E87" s="7">
        <f t="shared" si="17"/>
        <v>0.44085593846553367</v>
      </c>
      <c r="G87" s="116">
        <v>44180</v>
      </c>
      <c r="H87" s="115">
        <v>34.799999999999997</v>
      </c>
      <c r="I87" s="117">
        <f t="shared" si="18"/>
        <v>0</v>
      </c>
      <c r="J87" s="7">
        <f t="shared" si="19"/>
        <v>1.062958030838962E-6</v>
      </c>
      <c r="L87" s="111"/>
    </row>
    <row r="88" spans="1:12" ht="16.5" customHeight="1">
      <c r="A88" s="1">
        <v>30.866666666666667</v>
      </c>
      <c r="B88" s="90">
        <f t="shared" si="16"/>
        <v>10.063137243011191</v>
      </c>
      <c r="C88" s="42">
        <v>0.4495650799903993</v>
      </c>
      <c r="D88" s="7">
        <v>4.5290178571428577</v>
      </c>
      <c r="E88" s="7">
        <f t="shared" si="17"/>
        <v>0.41480618346055503</v>
      </c>
      <c r="G88" s="116">
        <v>44179</v>
      </c>
      <c r="H88" s="115">
        <v>34.799999999999997</v>
      </c>
      <c r="I88" s="117">
        <f t="shared" si="18"/>
        <v>-3.4423441909729015E-3</v>
      </c>
      <c r="J88" s="7">
        <f t="shared" si="19"/>
        <v>5.8145877517387181E-6</v>
      </c>
      <c r="L88" s="111"/>
    </row>
    <row r="89" spans="1:12" ht="16.5" customHeight="1">
      <c r="A89" s="1">
        <v>31.866666666666667</v>
      </c>
      <c r="B89" s="90">
        <f t="shared" si="16"/>
        <v>10.844745356169174</v>
      </c>
      <c r="C89" s="42">
        <v>0.40913077457096075</v>
      </c>
      <c r="D89" s="7">
        <v>4.4419642857142865</v>
      </c>
      <c r="E89" s="7">
        <f t="shared" si="17"/>
        <v>0.38974198574110486</v>
      </c>
      <c r="G89" s="116">
        <v>44176</v>
      </c>
      <c r="H89" s="115">
        <v>34.92</v>
      </c>
      <c r="I89" s="117">
        <f t="shared" si="18"/>
        <v>4.8801589606004723E-3</v>
      </c>
      <c r="J89" s="7">
        <f t="shared" si="19"/>
        <v>3.494178323402169E-5</v>
      </c>
      <c r="L89" s="111"/>
    </row>
    <row r="90" spans="1:12" ht="16.5" customHeight="1">
      <c r="A90" s="1">
        <v>32.866666666666667</v>
      </c>
      <c r="B90" s="90">
        <f t="shared" si="16"/>
        <v>11.687061301070052</v>
      </c>
      <c r="C90" s="42">
        <v>0.37219016237334956</v>
      </c>
      <c r="D90" s="7">
        <v>4.3549107142857153</v>
      </c>
      <c r="E90" s="7">
        <f t="shared" si="17"/>
        <v>0.36569114650881679</v>
      </c>
      <c r="G90" s="116">
        <v>44175</v>
      </c>
      <c r="H90" s="115">
        <v>34.75</v>
      </c>
      <c r="I90" s="117">
        <f t="shared" si="18"/>
        <v>8.0901914820272723E-3</v>
      </c>
      <c r="J90" s="7">
        <f t="shared" si="19"/>
        <v>8.3196107783811574E-5</v>
      </c>
      <c r="L90" s="111"/>
    </row>
    <row r="91" spans="1:12" ht="16.5" customHeight="1">
      <c r="A91" s="1">
        <v>33.866666666666667</v>
      </c>
      <c r="B91" s="90">
        <f t="shared" si="16"/>
        <v>12.594800280604995</v>
      </c>
      <c r="C91" s="42">
        <v>0.33844964044373482</v>
      </c>
      <c r="D91" s="7">
        <v>4.2678571428571432</v>
      </c>
      <c r="E91" s="7">
        <f t="shared" si="17"/>
        <v>0.34266985000712757</v>
      </c>
      <c r="G91" s="116">
        <v>44174</v>
      </c>
      <c r="H91" s="115">
        <v>34.47</v>
      </c>
      <c r="I91" s="117">
        <f t="shared" si="18"/>
        <v>0</v>
      </c>
      <c r="J91" s="7">
        <f t="shared" si="19"/>
        <v>1.062958030838962E-6</v>
      </c>
      <c r="L91" s="111"/>
    </row>
    <row r="92" spans="1:12" ht="16.5" customHeight="1">
      <c r="A92" s="1">
        <v>34.866666666666667</v>
      </c>
      <c r="B92" s="90">
        <f t="shared" si="16"/>
        <v>13.573043729462066</v>
      </c>
      <c r="C92" s="42">
        <v>0.30763978219234933</v>
      </c>
      <c r="D92" s="7">
        <v>4.1808035714285721</v>
      </c>
      <c r="E92" s="7">
        <f t="shared" si="17"/>
        <v>0.3206843731059752</v>
      </c>
      <c r="G92" s="116">
        <v>44169</v>
      </c>
      <c r="H92" s="115">
        <v>34.47</v>
      </c>
      <c r="I92" s="117">
        <f t="shared" si="18"/>
        <v>-1.4972925850822716E-2</v>
      </c>
      <c r="J92" s="7">
        <f t="shared" si="19"/>
        <v>1.9437733658100658E-4</v>
      </c>
      <c r="L92" s="111"/>
    </row>
    <row r="93" spans="1:12" ht="16.5" customHeight="1">
      <c r="A93" s="1">
        <v>35.866666666666667</v>
      </c>
      <c r="B93" s="90">
        <f t="shared" si="16"/>
        <v>14.627267759504328</v>
      </c>
      <c r="C93" s="42">
        <v>0.27951337739658361</v>
      </c>
      <c r="D93" s="7">
        <v>4.0937500000000009</v>
      </c>
      <c r="E93" s="7">
        <f t="shared" si="17"/>
        <v>0.29973259586719747</v>
      </c>
      <c r="G93" s="116">
        <v>44168</v>
      </c>
      <c r="H93" s="115">
        <v>34.99</v>
      </c>
      <c r="I93" s="117">
        <f t="shared" si="18"/>
        <v>8.322619426783185E-3</v>
      </c>
      <c r="J93" s="7">
        <f t="shared" si="19"/>
        <v>8.7490169443734371E-5</v>
      </c>
      <c r="L93" s="111"/>
    </row>
    <row r="94" spans="1:12" ht="16.5" customHeight="1">
      <c r="A94" s="1">
        <v>36.866666666666667</v>
      </c>
      <c r="B94" s="90">
        <f t="shared" si="16"/>
        <v>15.763373814512454</v>
      </c>
      <c r="C94" s="42">
        <v>0.25384362915941294</v>
      </c>
      <c r="D94" s="7">
        <v>4.0066964285714297</v>
      </c>
      <c r="E94" s="7">
        <f t="shared" si="17"/>
        <v>0.27980533383017153</v>
      </c>
      <c r="G94" s="116">
        <v>44167</v>
      </c>
      <c r="H94" s="115">
        <v>34.700000000000003</v>
      </c>
      <c r="I94" s="117">
        <f t="shared" si="18"/>
        <v>2.886004889135073E-3</v>
      </c>
      <c r="J94" s="7">
        <f t="shared" si="19"/>
        <v>1.5342916020980144E-5</v>
      </c>
      <c r="L94" s="111"/>
    </row>
    <row r="95" spans="1:12" ht="16.5" customHeight="1">
      <c r="A95" s="1">
        <v>37.866666666666667</v>
      </c>
      <c r="B95" s="90">
        <f t="shared" si="16"/>
        <v>16.987721705894117</v>
      </c>
      <c r="C95" s="42">
        <v>0.23042249537889234</v>
      </c>
      <c r="D95" s="7">
        <v>3.9196428571428581</v>
      </c>
      <c r="E95" s="7">
        <f t="shared" si="17"/>
        <v>0.26088751073434191</v>
      </c>
      <c r="G95" s="116">
        <v>44166</v>
      </c>
      <c r="H95" s="115">
        <v>34.6</v>
      </c>
      <c r="I95" s="117">
        <f t="shared" si="18"/>
        <v>-1.1494379425735021E-2</v>
      </c>
      <c r="J95" s="7">
        <f t="shared" si="19"/>
        <v>1.0948233914024348E-4</v>
      </c>
      <c r="L95" s="111"/>
    </row>
    <row r="96" spans="1:12" ht="16.5" customHeight="1">
      <c r="A96" s="1">
        <v>38.866666666666667</v>
      </c>
      <c r="B96" s="90">
        <f t="shared" si="16"/>
        <v>18.30716521429088</v>
      </c>
      <c r="C96" s="42">
        <v>0.20905916326300886</v>
      </c>
      <c r="D96" s="7">
        <v>3.8325892857142865</v>
      </c>
      <c r="E96" s="7">
        <f t="shared" si="17"/>
        <v>0.24295918856108664</v>
      </c>
      <c r="G96" s="116">
        <v>44165</v>
      </c>
      <c r="H96" s="115">
        <v>35</v>
      </c>
      <c r="I96" s="117">
        <f t="shared" si="18"/>
        <v>0</v>
      </c>
      <c r="J96" s="7">
        <f t="shared" si="19"/>
        <v>1.062958030838962E-6</v>
      </c>
      <c r="L96" s="111"/>
    </row>
    <row r="97" spans="1:12" ht="16.5" customHeight="1">
      <c r="A97" s="1">
        <v>39.866666666666667</v>
      </c>
      <c r="B97" s="90">
        <f t="shared" si="16"/>
        <v>19.729090456376884</v>
      </c>
      <c r="C97" s="42">
        <v>0.18957864632632154</v>
      </c>
      <c r="D97" s="7">
        <v>3.7455357142857153</v>
      </c>
      <c r="E97" s="7">
        <f t="shared" si="17"/>
        <v>0.2259964701148445</v>
      </c>
      <c r="G97" s="116">
        <v>44162</v>
      </c>
      <c r="H97" s="115">
        <v>35</v>
      </c>
      <c r="I97" s="117">
        <f t="shared" si="18"/>
        <v>2.8612322810321949E-3</v>
      </c>
      <c r="J97" s="7">
        <f t="shared" si="19"/>
        <v>1.5149460920323464E-5</v>
      </c>
      <c r="L97" s="111"/>
    </row>
    <row r="98" spans="1:12" ht="16.5" customHeight="1">
      <c r="A98" s="1">
        <v>40.866666666666667</v>
      </c>
      <c r="B98" s="90">
        <f t="shared" si="16"/>
        <v>21.261457231622977</v>
      </c>
      <c r="C98" s="42">
        <v>0.17182049413647224</v>
      </c>
      <c r="D98" s="7">
        <v>3.6584821428571437</v>
      </c>
      <c r="E98" s="7">
        <f t="shared" si="17"/>
        <v>0.20997228785700769</v>
      </c>
      <c r="G98" s="116">
        <v>44161</v>
      </c>
      <c r="H98" s="115">
        <v>34.9</v>
      </c>
      <c r="I98" s="117" t="e">
        <f t="shared" si="18"/>
        <v>#DIV/0!</v>
      </c>
      <c r="L98" s="111"/>
    </row>
    <row r="99" spans="1:12" ht="16.5" customHeight="1">
      <c r="G99" s="119"/>
      <c r="H99" s="32"/>
      <c r="I99" s="118"/>
      <c r="J99" s="106"/>
      <c r="K99" s="32"/>
      <c r="L99" s="121"/>
    </row>
    <row r="100" spans="1:12" ht="16.5" customHeight="1">
      <c r="G100" s="119"/>
      <c r="H100" s="32"/>
      <c r="I100" s="118" t="s">
        <v>65</v>
      </c>
      <c r="J100" s="32">
        <f>SUM(J58:J97)/40</f>
        <v>7.30818515685745E-5</v>
      </c>
      <c r="K100" s="32"/>
      <c r="L100" s="121"/>
    </row>
    <row r="101" spans="1:12" ht="16.5" customHeight="1">
      <c r="G101" s="119"/>
      <c r="H101" s="32"/>
      <c r="I101" s="118"/>
      <c r="J101" s="32"/>
      <c r="K101" s="32"/>
      <c r="L101" s="121"/>
    </row>
    <row r="102" spans="1:12" ht="16.5" customHeight="1">
      <c r="G102" s="137" t="s">
        <v>63</v>
      </c>
      <c r="H102" s="137"/>
      <c r="I102" s="137"/>
      <c r="J102" s="32">
        <f>SQRT(J100)</f>
        <v>8.5487924041103315E-3</v>
      </c>
      <c r="K102" s="32"/>
      <c r="L102" s="121"/>
    </row>
    <row r="103" spans="1:12" ht="16.5" customHeight="1">
      <c r="G103" s="119"/>
      <c r="H103" s="32"/>
      <c r="I103" s="118"/>
      <c r="J103" s="32"/>
      <c r="K103" s="32"/>
      <c r="L103" s="121"/>
    </row>
    <row r="104" spans="1:12" ht="16.5" customHeight="1">
      <c r="G104" s="119"/>
      <c r="H104" s="32"/>
      <c r="I104" s="118"/>
      <c r="J104" s="32"/>
      <c r="K104" s="32"/>
      <c r="L104" s="121"/>
    </row>
    <row r="105" spans="1:12" ht="16.5" customHeight="1">
      <c r="G105" s="119"/>
      <c r="H105" s="32"/>
      <c r="I105" s="118"/>
      <c r="J105" s="32"/>
      <c r="K105" s="32"/>
      <c r="L105" s="121"/>
    </row>
    <row r="106" spans="1:12" ht="16.5" customHeight="1">
      <c r="G106" s="119"/>
      <c r="H106" s="32"/>
      <c r="I106" s="118"/>
      <c r="J106" s="32"/>
      <c r="K106" s="32"/>
      <c r="L106" s="121"/>
    </row>
    <row r="107" spans="1:12" ht="16.5" customHeight="1">
      <c r="G107" s="119"/>
      <c r="H107" s="32"/>
      <c r="I107" s="118"/>
      <c r="J107" s="32"/>
      <c r="K107" s="32"/>
      <c r="L107" s="121"/>
    </row>
    <row r="108" spans="1:12" ht="16.5" customHeight="1">
      <c r="G108" s="119"/>
      <c r="H108" s="32"/>
      <c r="I108" s="118"/>
      <c r="J108" s="32"/>
      <c r="K108" s="32"/>
      <c r="L108" s="121"/>
    </row>
    <row r="109" spans="1:12" ht="16.5" customHeight="1">
      <c r="G109" s="119"/>
      <c r="H109" s="32"/>
      <c r="I109" s="118"/>
      <c r="J109" s="32"/>
      <c r="K109" s="32"/>
      <c r="L109" s="121"/>
    </row>
    <row r="110" spans="1:12" ht="16.5" customHeight="1">
      <c r="G110" s="119"/>
      <c r="H110" s="32"/>
      <c r="I110" s="118"/>
      <c r="J110" s="32"/>
      <c r="K110" s="32"/>
      <c r="L110" s="121"/>
    </row>
    <row r="111" spans="1:12" ht="16.5" customHeight="1">
      <c r="G111" s="119"/>
      <c r="H111" s="32"/>
      <c r="I111" s="118"/>
      <c r="J111" s="32"/>
      <c r="K111" s="32"/>
      <c r="L111" s="121"/>
    </row>
    <row r="112" spans="1:12" ht="16.5" customHeight="1">
      <c r="G112" s="119"/>
      <c r="H112" s="32"/>
      <c r="I112" s="118"/>
      <c r="J112" s="32"/>
      <c r="K112" s="32"/>
      <c r="L112" s="121"/>
    </row>
    <row r="113" spans="7:12" ht="16.5" customHeight="1">
      <c r="G113" s="119"/>
      <c r="H113" s="32"/>
      <c r="I113" s="118"/>
      <c r="J113" s="32"/>
      <c r="K113" s="32"/>
      <c r="L113" s="121"/>
    </row>
    <row r="114" spans="7:12" ht="16.5" customHeight="1">
      <c r="G114" s="119"/>
      <c r="H114" s="32"/>
      <c r="I114" s="118"/>
      <c r="J114" s="32"/>
      <c r="K114" s="32"/>
      <c r="L114" s="121"/>
    </row>
    <row r="115" spans="7:12" ht="16.5" customHeight="1">
      <c r="G115" s="119"/>
      <c r="H115" s="32"/>
      <c r="I115" s="118"/>
      <c r="J115" s="32"/>
      <c r="K115" s="32"/>
      <c r="L115" s="121"/>
    </row>
    <row r="116" spans="7:12" ht="16.5" customHeight="1">
      <c r="G116" s="119"/>
      <c r="H116" s="32"/>
      <c r="I116" s="118"/>
      <c r="J116" s="32"/>
      <c r="K116" s="32"/>
      <c r="L116" s="121"/>
    </row>
    <row r="117" spans="7:12" ht="16.5" customHeight="1">
      <c r="G117" s="119"/>
      <c r="H117" s="32"/>
      <c r="I117" s="118"/>
      <c r="J117" s="32"/>
      <c r="K117" s="32"/>
      <c r="L117" s="121"/>
    </row>
    <row r="118" spans="7:12" ht="16.5" customHeight="1">
      <c r="G118" s="119"/>
      <c r="H118" s="32"/>
      <c r="I118" s="118"/>
      <c r="J118" s="32"/>
      <c r="K118" s="32"/>
      <c r="L118" s="121"/>
    </row>
    <row r="119" spans="7:12" ht="16.5" customHeight="1">
      <c r="G119" s="119"/>
      <c r="H119" s="32"/>
      <c r="I119" s="118"/>
      <c r="J119" s="32"/>
      <c r="K119" s="32"/>
      <c r="L119" s="121"/>
    </row>
    <row r="120" spans="7:12" ht="16.5" customHeight="1">
      <c r="G120" s="119"/>
      <c r="H120" s="32"/>
      <c r="I120" s="118"/>
      <c r="J120" s="32"/>
      <c r="K120" s="32"/>
      <c r="L120" s="121"/>
    </row>
    <row r="121" spans="7:12" ht="16.5" customHeight="1">
      <c r="G121" s="119"/>
      <c r="H121" s="32"/>
      <c r="I121" s="118"/>
      <c r="J121" s="32"/>
      <c r="K121" s="32"/>
      <c r="L121" s="121"/>
    </row>
    <row r="122" spans="7:12" ht="16.5" customHeight="1">
      <c r="G122" s="119"/>
      <c r="H122" s="32"/>
      <c r="I122" s="118"/>
      <c r="J122" s="32"/>
      <c r="K122" s="32"/>
      <c r="L122" s="121"/>
    </row>
    <row r="123" spans="7:12" ht="16.5" customHeight="1">
      <c r="G123" s="119"/>
      <c r="H123" s="32"/>
      <c r="I123" s="118"/>
      <c r="J123" s="32"/>
      <c r="K123" s="32"/>
      <c r="L123" s="121"/>
    </row>
    <row r="124" spans="7:12" ht="16.5" customHeight="1">
      <c r="G124" s="119"/>
      <c r="H124" s="32"/>
      <c r="I124" s="118"/>
      <c r="J124" s="32"/>
      <c r="K124" s="32"/>
      <c r="L124" s="121"/>
    </row>
    <row r="125" spans="7:12" ht="16.5" customHeight="1">
      <c r="G125" s="119"/>
      <c r="H125" s="32"/>
      <c r="I125" s="118"/>
      <c r="J125" s="32"/>
      <c r="K125" s="32"/>
      <c r="L125" s="121"/>
    </row>
    <row r="126" spans="7:12" ht="16.5" customHeight="1">
      <c r="G126" s="119"/>
      <c r="H126" s="32"/>
      <c r="I126" s="118"/>
      <c r="J126" s="32"/>
      <c r="K126" s="32"/>
      <c r="L126" s="121"/>
    </row>
    <row r="127" spans="7:12" ht="16.5" customHeight="1">
      <c r="G127" s="119"/>
      <c r="H127" s="32"/>
      <c r="I127" s="118"/>
      <c r="J127" s="32"/>
      <c r="K127" s="32"/>
      <c r="L127" s="121"/>
    </row>
    <row r="128" spans="7:12" ht="16.5" customHeight="1">
      <c r="G128" s="119"/>
      <c r="H128" s="32"/>
      <c r="I128" s="118"/>
      <c r="J128" s="32"/>
      <c r="K128" s="32"/>
      <c r="L128" s="121"/>
    </row>
    <row r="129" spans="7:12" ht="16.5" customHeight="1">
      <c r="G129" s="119"/>
      <c r="H129" s="32"/>
      <c r="I129" s="118"/>
      <c r="J129" s="32"/>
      <c r="K129" s="32"/>
      <c r="L129" s="121"/>
    </row>
    <row r="130" spans="7:12" ht="16.5" customHeight="1">
      <c r="G130" s="119"/>
      <c r="H130" s="32"/>
      <c r="I130" s="118"/>
      <c r="J130" s="32"/>
      <c r="K130" s="32"/>
      <c r="L130" s="121"/>
    </row>
    <row r="131" spans="7:12" ht="16.5" customHeight="1">
      <c r="G131" s="119"/>
      <c r="H131" s="32"/>
      <c r="I131" s="118"/>
      <c r="J131" s="32"/>
      <c r="K131" s="32"/>
      <c r="L131" s="121"/>
    </row>
    <row r="132" spans="7:12" ht="16.5" customHeight="1">
      <c r="G132" s="119"/>
      <c r="H132" s="32"/>
      <c r="I132" s="118"/>
      <c r="J132" s="32"/>
      <c r="K132" s="32"/>
      <c r="L132" s="121"/>
    </row>
    <row r="133" spans="7:12" ht="16.5" customHeight="1">
      <c r="G133" s="119"/>
      <c r="H133" s="32"/>
      <c r="I133" s="118"/>
      <c r="J133" s="32"/>
      <c r="K133" s="32"/>
      <c r="L133" s="121"/>
    </row>
    <row r="134" spans="7:12" ht="16.5" customHeight="1">
      <c r="G134" s="119"/>
      <c r="H134" s="32"/>
      <c r="I134" s="118"/>
      <c r="J134" s="32"/>
      <c r="K134" s="32"/>
      <c r="L134" s="121"/>
    </row>
    <row r="135" spans="7:12" ht="16.5" customHeight="1">
      <c r="G135" s="119"/>
      <c r="H135" s="32"/>
      <c r="I135" s="118"/>
      <c r="J135" s="32"/>
      <c r="K135" s="32"/>
      <c r="L135" s="121"/>
    </row>
    <row r="136" spans="7:12" ht="16.5" customHeight="1">
      <c r="G136" s="119"/>
      <c r="H136" s="32"/>
      <c r="I136" s="118"/>
      <c r="J136" s="32"/>
      <c r="K136" s="32"/>
      <c r="L136" s="121"/>
    </row>
    <row r="137" spans="7:12" ht="16.5" customHeight="1">
      <c r="G137" s="119"/>
      <c r="H137" s="32"/>
      <c r="I137" s="118"/>
      <c r="J137" s="32"/>
      <c r="K137" s="32"/>
      <c r="L137" s="121"/>
    </row>
    <row r="138" spans="7:12" ht="16.5" customHeight="1">
      <c r="G138" s="119"/>
      <c r="H138" s="32"/>
      <c r="I138" s="118"/>
      <c r="J138" s="32"/>
      <c r="K138" s="32"/>
      <c r="L138" s="121"/>
    </row>
    <row r="139" spans="7:12" ht="16.5" customHeight="1">
      <c r="G139" s="119"/>
      <c r="H139" s="32"/>
      <c r="I139" s="118"/>
      <c r="J139" s="32"/>
      <c r="K139" s="32"/>
      <c r="L139" s="121"/>
    </row>
    <row r="140" spans="7:12" ht="16.5" customHeight="1">
      <c r="G140" s="119"/>
      <c r="H140" s="32"/>
      <c r="I140" s="118"/>
      <c r="J140" s="32"/>
      <c r="K140" s="32"/>
      <c r="L140" s="121"/>
    </row>
    <row r="141" spans="7:12" ht="16.5" customHeight="1">
      <c r="G141" s="119"/>
      <c r="H141" s="32"/>
      <c r="I141" s="118"/>
      <c r="J141" s="32"/>
      <c r="K141" s="32"/>
      <c r="L141" s="121"/>
    </row>
    <row r="142" spans="7:12" ht="16.5" customHeight="1">
      <c r="G142" s="119"/>
      <c r="H142" s="32"/>
      <c r="I142" s="118"/>
      <c r="J142" s="32"/>
      <c r="K142" s="32"/>
      <c r="L142" s="121"/>
    </row>
    <row r="143" spans="7:12" ht="16.5" customHeight="1">
      <c r="G143" s="119"/>
      <c r="H143" s="32"/>
      <c r="I143" s="118"/>
      <c r="J143" s="32"/>
      <c r="K143" s="32"/>
      <c r="L143" s="121"/>
    </row>
    <row r="144" spans="7:12" ht="16.5" customHeight="1">
      <c r="G144" s="119"/>
      <c r="H144" s="32"/>
      <c r="I144" s="118"/>
      <c r="J144" s="32"/>
      <c r="K144" s="32"/>
      <c r="L144" s="121"/>
    </row>
    <row r="145" spans="7:12" ht="16.5" customHeight="1">
      <c r="G145" s="119"/>
      <c r="H145" s="32"/>
      <c r="I145" s="118"/>
      <c r="J145" s="32"/>
      <c r="K145" s="32"/>
      <c r="L145" s="121"/>
    </row>
    <row r="146" spans="7:12" ht="16.5" customHeight="1">
      <c r="G146" s="119"/>
      <c r="H146" s="32"/>
      <c r="I146" s="118"/>
      <c r="J146" s="32"/>
      <c r="K146" s="32"/>
      <c r="L146" s="121"/>
    </row>
    <row r="147" spans="7:12" ht="16.5" customHeight="1">
      <c r="G147" s="119"/>
      <c r="H147" s="32"/>
      <c r="I147" s="118"/>
      <c r="J147" s="32"/>
      <c r="K147" s="32"/>
      <c r="L147" s="121"/>
    </row>
    <row r="148" spans="7:12" ht="16.5" customHeight="1">
      <c r="G148" s="119"/>
      <c r="H148" s="32"/>
      <c r="I148" s="118"/>
      <c r="J148" s="32"/>
      <c r="K148" s="32"/>
      <c r="L148" s="121"/>
    </row>
    <row r="149" spans="7:12" ht="16.5" customHeight="1">
      <c r="G149" s="120"/>
      <c r="H149" s="32"/>
      <c r="I149" s="118"/>
      <c r="J149" s="32"/>
      <c r="K149" s="32"/>
      <c r="L149" s="121"/>
    </row>
    <row r="150" spans="7:12" ht="16.5" customHeight="1">
      <c r="G150" s="119"/>
      <c r="H150" s="32"/>
      <c r="I150" s="118"/>
      <c r="J150" s="32"/>
      <c r="L150" s="111"/>
    </row>
  </sheetData>
  <mergeCells count="29">
    <mergeCell ref="S8:U8"/>
    <mergeCell ref="S9:U9"/>
    <mergeCell ref="S10:U10"/>
    <mergeCell ref="A2:C2"/>
    <mergeCell ref="A56:E56"/>
    <mergeCell ref="P5:P6"/>
    <mergeCell ref="Q5:Q6"/>
    <mergeCell ref="R5:R6"/>
    <mergeCell ref="G102:I102"/>
    <mergeCell ref="G56:K56"/>
    <mergeCell ref="M28:N28"/>
    <mergeCell ref="M36:X36"/>
    <mergeCell ref="O65:P66"/>
    <mergeCell ref="S14:U14"/>
    <mergeCell ref="S20:U20"/>
    <mergeCell ref="E2:I2"/>
    <mergeCell ref="S11:U11"/>
    <mergeCell ref="H53:J53"/>
    <mergeCell ref="S23:U23"/>
    <mergeCell ref="S21:U21"/>
    <mergeCell ref="S15:U15"/>
    <mergeCell ref="S16:U16"/>
    <mergeCell ref="S17:U17"/>
    <mergeCell ref="S18:U18"/>
    <mergeCell ref="S19:U19"/>
    <mergeCell ref="S12:U12"/>
    <mergeCell ref="S13:U13"/>
    <mergeCell ref="S5:U6"/>
    <mergeCell ref="S7:U7"/>
  </mergeCells>
  <hyperlinks>
    <hyperlink ref="M36" r:id="rId1"/>
    <hyperlink ref="A2:C2" r:id="rId2" display="Sin Elefantes Blancos -&gt; Inversiones"/>
  </hyperlinks>
  <pageMargins left="0.7" right="0.7" top="0.75" bottom="0.75" header="0.3" footer="0.3"/>
  <pageSetup orientation="portrait" r:id="rId3"/>
  <ignoredErrors>
    <ignoredError sqref="F49 N12" formulaRange="1"/>
  </ignoredError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SinElefantesBlancos.com.ar</dc:creator>
  <cp:lastModifiedBy>Guillermo Gonzalez</cp:lastModifiedBy>
  <dcterms:created xsi:type="dcterms:W3CDTF">2016-02-28T22:05:33Z</dcterms:created>
  <dcterms:modified xsi:type="dcterms:W3CDTF">2021-08-22T19:53:12Z</dcterms:modified>
</cp:coreProperties>
</file>