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ocuments\GUILLE\CASA\6- Página Web\Página\decisiones\"/>
    </mc:Choice>
  </mc:AlternateContent>
  <bookViews>
    <workbookView xWindow="0" yWindow="0" windowWidth="28800" windowHeight="12030" activeTab="4"/>
  </bookViews>
  <sheets>
    <sheet name="Propiedad" sheetId="3" r:id="rId1"/>
    <sheet name="Excel&gt; Datos&gt; Análisis de datos" sheetId="2" r:id="rId2"/>
    <sheet name="Cálculos con fórmulas de excel" sheetId="4" r:id="rId3"/>
    <sheet name="Cálculos manuales" sheetId="5" r:id="rId4"/>
    <sheet name="Explicación" sheetId="6" r:id="rId5"/>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2" i="6" l="1"/>
  <c r="F52" i="6" l="1"/>
  <c r="E52" i="6"/>
  <c r="D52" i="6"/>
  <c r="C30" i="3" l="1" a="1"/>
  <c r="C30" i="3" s="1"/>
  <c r="F30" i="3" l="1"/>
  <c r="E30" i="3"/>
  <c r="H30" i="3"/>
  <c r="D30" i="3"/>
  <c r="G30" i="3"/>
  <c r="F52" i="5" l="1" a="1"/>
  <c r="E52" i="5" a="1"/>
  <c r="D52" i="5" a="1"/>
  <c r="C52" i="5" a="1"/>
  <c r="B52" i="5" a="1"/>
  <c r="G52" i="5" a="1"/>
  <c r="B37" i="4" l="1" a="1"/>
  <c r="B36" i="4" a="1"/>
  <c r="C20" i="3" l="1"/>
  <c r="C21" i="3"/>
  <c r="F21" i="3" l="1"/>
  <c r="G21" i="3"/>
  <c r="B51" i="6"/>
  <c r="G65" i="5"/>
  <c r="F65" i="5"/>
  <c r="E65" i="5"/>
  <c r="D65" i="5"/>
  <c r="C65" i="5"/>
  <c r="C20" i="5"/>
  <c r="I15" i="5"/>
  <c r="H15" i="5"/>
  <c r="G15" i="5"/>
  <c r="F15" i="5"/>
  <c r="E15" i="5"/>
  <c r="D15" i="5"/>
  <c r="I14" i="5"/>
  <c r="H14" i="5"/>
  <c r="G14" i="5"/>
  <c r="F14" i="5"/>
  <c r="E14" i="5"/>
  <c r="D14" i="5"/>
  <c r="I13" i="5"/>
  <c r="H13" i="5"/>
  <c r="G13" i="5"/>
  <c r="F13" i="5"/>
  <c r="E13" i="5"/>
  <c r="D13" i="5"/>
  <c r="I12" i="5"/>
  <c r="H12" i="5"/>
  <c r="G12" i="5"/>
  <c r="F12" i="5"/>
  <c r="E12" i="5"/>
  <c r="D12" i="5"/>
  <c r="I11" i="5"/>
  <c r="H11" i="5"/>
  <c r="G11" i="5"/>
  <c r="F11" i="5"/>
  <c r="E11" i="5"/>
  <c r="D11" i="5"/>
  <c r="I10" i="5"/>
  <c r="H10" i="5"/>
  <c r="G10" i="5"/>
  <c r="F10" i="5"/>
  <c r="E10" i="5"/>
  <c r="D10" i="5"/>
  <c r="I9" i="5"/>
  <c r="H9" i="5"/>
  <c r="G9" i="5"/>
  <c r="F9" i="5"/>
  <c r="E9" i="5"/>
  <c r="D9" i="5"/>
  <c r="I8" i="5"/>
  <c r="H8" i="5"/>
  <c r="G8" i="5"/>
  <c r="F8" i="5"/>
  <c r="E8" i="5"/>
  <c r="D8" i="5"/>
  <c r="I7" i="5"/>
  <c r="H7" i="5"/>
  <c r="G7" i="5"/>
  <c r="F7" i="5"/>
  <c r="E7" i="5"/>
  <c r="D7" i="5"/>
  <c r="I6" i="5"/>
  <c r="H6" i="5"/>
  <c r="G6" i="5"/>
  <c r="F6" i="5"/>
  <c r="E6" i="5"/>
  <c r="D6" i="5"/>
  <c r="I5" i="5"/>
  <c r="H5" i="5"/>
  <c r="G5" i="5"/>
  <c r="F5" i="5"/>
  <c r="E5" i="5"/>
  <c r="D5" i="5"/>
  <c r="I4" i="5"/>
  <c r="H4" i="5"/>
  <c r="G4" i="5"/>
  <c r="F4" i="5"/>
  <c r="E4" i="5"/>
  <c r="D4" i="5"/>
  <c r="I3" i="5"/>
  <c r="H3" i="5"/>
  <c r="G3" i="5"/>
  <c r="F3" i="5"/>
  <c r="E3" i="5"/>
  <c r="D3" i="5"/>
  <c r="E21" i="3"/>
  <c r="D21" i="3"/>
  <c r="J5" i="3" s="1"/>
  <c r="L5" i="3" s="1"/>
  <c r="D20" i="5" l="1"/>
  <c r="Q6" i="5" a="1"/>
  <c r="A5" i="4" a="1"/>
  <c r="C24" i="5"/>
  <c r="C22" i="5"/>
  <c r="B54" i="5" a="1"/>
  <c r="B43" i="5" a="1"/>
  <c r="B41" i="5"/>
  <c r="B37" i="4"/>
  <c r="E20" i="5"/>
  <c r="J15" i="3"/>
  <c r="J12" i="3"/>
  <c r="J16" i="3"/>
  <c r="J17" i="3"/>
  <c r="J14" i="3"/>
  <c r="J11" i="3"/>
  <c r="J13" i="3"/>
  <c r="J10" i="3"/>
  <c r="J7" i="3"/>
  <c r="J8" i="3"/>
  <c r="J9" i="3"/>
  <c r="J6" i="3"/>
  <c r="H22" i="3"/>
  <c r="H23" i="5"/>
  <c r="D23" i="5"/>
  <c r="G23" i="5"/>
  <c r="C23" i="5"/>
  <c r="F20" i="5"/>
  <c r="F21" i="5"/>
  <c r="H22" i="5"/>
  <c r="D24" i="5"/>
  <c r="F24" i="5"/>
  <c r="E23" i="5"/>
  <c r="G24" i="5"/>
  <c r="C41" i="5"/>
  <c r="H21" i="5"/>
  <c r="D21" i="5"/>
  <c r="G21" i="5"/>
  <c r="C21" i="5"/>
  <c r="A21" i="4" a="1"/>
  <c r="E25" i="5"/>
  <c r="G41" i="5"/>
  <c r="H25" i="5"/>
  <c r="D25" i="5"/>
  <c r="G25" i="5"/>
  <c r="C25" i="5"/>
  <c r="D22" i="5"/>
  <c r="F23" i="5"/>
  <c r="H24" i="5"/>
  <c r="E41" i="5"/>
  <c r="D41" i="5"/>
  <c r="F22" i="5"/>
  <c r="E22" i="5"/>
  <c r="H20" i="5"/>
  <c r="E21" i="5"/>
  <c r="G22" i="5"/>
  <c r="F25" i="5"/>
  <c r="E24" i="5"/>
  <c r="F41" i="5"/>
  <c r="G20" i="5"/>
  <c r="B54" i="5" l="1"/>
  <c r="B55" i="5"/>
  <c r="B56" i="5"/>
  <c r="B57" i="5"/>
  <c r="B58" i="5"/>
  <c r="B59" i="5"/>
  <c r="A5" i="4"/>
  <c r="F10" i="4"/>
  <c r="B8" i="4"/>
  <c r="D5" i="4"/>
  <c r="E8" i="4"/>
  <c r="A6" i="4"/>
  <c r="B9" i="4"/>
  <c r="D6" i="4"/>
  <c r="E9" i="4"/>
  <c r="A7" i="4"/>
  <c r="F6" i="4"/>
  <c r="C7" i="4"/>
  <c r="F7" i="4"/>
  <c r="B5" i="4"/>
  <c r="C9" i="4"/>
  <c r="B7" i="4"/>
  <c r="B10" i="4"/>
  <c r="D7" i="4"/>
  <c r="E10" i="4"/>
  <c r="A8" i="4"/>
  <c r="C5" i="4"/>
  <c r="D8" i="4"/>
  <c r="F5" i="4"/>
  <c r="A9" i="4"/>
  <c r="C6" i="4"/>
  <c r="D9" i="4"/>
  <c r="D10" i="4"/>
  <c r="C8" i="4"/>
  <c r="B6" i="4"/>
  <c r="F9" i="4"/>
  <c r="A10" i="4"/>
  <c r="E5" i="4"/>
  <c r="F8" i="4"/>
  <c r="E6" i="4"/>
  <c r="E7" i="4"/>
  <c r="C10" i="4"/>
  <c r="Q6" i="5"/>
  <c r="V11" i="5"/>
  <c r="AC8" i="5"/>
  <c r="AA6" i="5"/>
  <c r="U11" i="5"/>
  <c r="R10" i="5"/>
  <c r="AB8" i="5"/>
  <c r="Y7" i="5"/>
  <c r="V6" i="5"/>
  <c r="S11" i="5"/>
  <c r="AC9" i="5"/>
  <c r="Z8" i="5"/>
  <c r="W7" i="5"/>
  <c r="T6" i="5"/>
  <c r="AB9" i="5"/>
  <c r="V7" i="5"/>
  <c r="T11" i="5"/>
  <c r="Q10" i="5"/>
  <c r="AA8" i="5"/>
  <c r="X7" i="5"/>
  <c r="U6" i="5"/>
  <c r="AA10" i="5"/>
  <c r="U8" i="5"/>
  <c r="S6" i="5"/>
  <c r="Q11" i="5"/>
  <c r="AA9" i="5"/>
  <c r="X8" i="5"/>
  <c r="U7" i="5"/>
  <c r="R6" i="5"/>
  <c r="AB10" i="5"/>
  <c r="Y9" i="5"/>
  <c r="V8" i="5"/>
  <c r="S7" i="5"/>
  <c r="Z11" i="5"/>
  <c r="T9" i="5"/>
  <c r="W6" i="5"/>
  <c r="AC10" i="5"/>
  <c r="Z9" i="5"/>
  <c r="W8" i="5"/>
  <c r="T7" i="5"/>
  <c r="AC11" i="5"/>
  <c r="AA11" i="5"/>
  <c r="X10" i="5"/>
  <c r="R8" i="5"/>
  <c r="R11" i="5"/>
  <c r="Y8" i="5"/>
  <c r="Y10" i="5"/>
  <c r="V9" i="5"/>
  <c r="AC6" i="5"/>
  <c r="X9" i="5"/>
  <c r="Y11" i="5"/>
  <c r="S9" i="5"/>
  <c r="Z6" i="5"/>
  <c r="T10" i="5"/>
  <c r="AA7" i="5"/>
  <c r="X11" i="5"/>
  <c r="R9" i="5"/>
  <c r="Y6" i="5"/>
  <c r="S10" i="5"/>
  <c r="Z7" i="5"/>
  <c r="Z10" i="5"/>
  <c r="W9" i="5"/>
  <c r="T8" i="5"/>
  <c r="Q7" i="5"/>
  <c r="U9" i="5"/>
  <c r="AB6" i="5"/>
  <c r="AB11" i="5"/>
  <c r="S8" i="5"/>
  <c r="R7" i="5"/>
  <c r="V10" i="5"/>
  <c r="AC7" i="5"/>
  <c r="W11" i="5"/>
  <c r="Q9" i="5"/>
  <c r="X6" i="5"/>
  <c r="W10" i="5"/>
  <c r="Q8" i="5"/>
  <c r="U10" i="5"/>
  <c r="AB7" i="5"/>
  <c r="B46" i="5"/>
  <c r="B43" i="5"/>
  <c r="B47" i="5"/>
  <c r="B44" i="5"/>
  <c r="B48" i="5"/>
  <c r="B45" i="5"/>
  <c r="B32" i="5" a="1"/>
  <c r="K13" i="3"/>
  <c r="L13" i="3"/>
  <c r="K16" i="3"/>
  <c r="L16" i="3"/>
  <c r="K8" i="3"/>
  <c r="L8" i="3"/>
  <c r="K11" i="3"/>
  <c r="L11" i="3"/>
  <c r="K12" i="3"/>
  <c r="L12" i="3"/>
  <c r="K9" i="3"/>
  <c r="L9" i="3"/>
  <c r="K7" i="3"/>
  <c r="L7" i="3"/>
  <c r="K14" i="3"/>
  <c r="L14" i="3"/>
  <c r="K15" i="3"/>
  <c r="L15" i="3"/>
  <c r="K6" i="3"/>
  <c r="L6" i="3"/>
  <c r="K10" i="3"/>
  <c r="L10" i="3"/>
  <c r="K17" i="3"/>
  <c r="L17" i="3"/>
  <c r="A24" i="4"/>
  <c r="A25" i="4"/>
  <c r="A23" i="4"/>
  <c r="A26" i="4"/>
  <c r="A21" i="4"/>
  <c r="A22" i="4"/>
  <c r="K5" i="3"/>
  <c r="L18" i="3" l="1"/>
  <c r="K18" i="3"/>
  <c r="C28" i="5"/>
  <c r="A13" i="4" a="1"/>
  <c r="C32" i="5"/>
  <c r="D35" i="5"/>
  <c r="F32" i="5"/>
  <c r="E36" i="5"/>
  <c r="G33" i="5"/>
  <c r="B37" i="5"/>
  <c r="D34" i="5"/>
  <c r="E37" i="5"/>
  <c r="G34" i="5"/>
  <c r="D37" i="5"/>
  <c r="F34" i="5"/>
  <c r="B32" i="5"/>
  <c r="G35" i="5"/>
  <c r="C33" i="5"/>
  <c r="D36" i="5"/>
  <c r="F33" i="5"/>
  <c r="G36" i="5"/>
  <c r="C34" i="5"/>
  <c r="B34" i="5"/>
  <c r="C36" i="5"/>
  <c r="B36" i="5"/>
  <c r="C37" i="5"/>
  <c r="E34" i="5"/>
  <c r="B35" i="5"/>
  <c r="E35" i="5"/>
  <c r="F36" i="5"/>
  <c r="G37" i="5"/>
  <c r="C35" i="5"/>
  <c r="E32" i="5"/>
  <c r="F35" i="5"/>
  <c r="B33" i="5"/>
  <c r="E33" i="5"/>
  <c r="D33" i="5"/>
  <c r="F37" i="5"/>
  <c r="D32" i="5"/>
  <c r="G32" i="5"/>
  <c r="K20" i="5" a="1"/>
  <c r="G52" i="5" l="1"/>
  <c r="G64" i="5" s="1"/>
  <c r="B52" i="5"/>
  <c r="C63" i="5" s="1"/>
  <c r="K20" i="5"/>
  <c r="M22" i="5"/>
  <c r="M23" i="5"/>
  <c r="M24" i="5"/>
  <c r="M25" i="5"/>
  <c r="N20" i="5"/>
  <c r="N21" i="5"/>
  <c r="N22" i="5"/>
  <c r="N23" i="5"/>
  <c r="P21" i="5"/>
  <c r="P25" i="5"/>
  <c r="K22" i="5"/>
  <c r="K24" i="5"/>
  <c r="L20" i="5"/>
  <c r="L23" i="5"/>
  <c r="L24" i="5"/>
  <c r="M21" i="5"/>
  <c r="N24" i="5"/>
  <c r="N25" i="5"/>
  <c r="O20" i="5"/>
  <c r="O21" i="5"/>
  <c r="O22" i="5"/>
  <c r="O23" i="5"/>
  <c r="O24" i="5"/>
  <c r="O25" i="5"/>
  <c r="P20" i="5"/>
  <c r="P22" i="5"/>
  <c r="P24" i="5"/>
  <c r="K21" i="5"/>
  <c r="K23" i="5"/>
  <c r="L21" i="5"/>
  <c r="L25" i="5"/>
  <c r="P23" i="5"/>
  <c r="L22" i="5"/>
  <c r="M20" i="5"/>
  <c r="K25" i="5"/>
  <c r="E52" i="5"/>
  <c r="E64" i="5" s="1"/>
  <c r="C52" i="5"/>
  <c r="C64" i="5" s="1"/>
  <c r="A13" i="4"/>
  <c r="D17" i="4"/>
  <c r="F14" i="4"/>
  <c r="A18" i="4"/>
  <c r="C15" i="4"/>
  <c r="D18" i="4"/>
  <c r="F15" i="4"/>
  <c r="B13" i="4"/>
  <c r="C16" i="4"/>
  <c r="E13" i="4"/>
  <c r="F16" i="4"/>
  <c r="B14" i="4"/>
  <c r="C17" i="4"/>
  <c r="E14" i="4"/>
  <c r="F17" i="4"/>
  <c r="B15" i="4"/>
  <c r="C18" i="4"/>
  <c r="E15" i="4"/>
  <c r="F18" i="4"/>
  <c r="D13" i="4"/>
  <c r="E16" i="4"/>
  <c r="A14" i="4"/>
  <c r="D14" i="4"/>
  <c r="A15" i="4"/>
  <c r="D15" i="4"/>
  <c r="C13" i="4"/>
  <c r="F13" i="4"/>
  <c r="B16" i="4"/>
  <c r="B17" i="4"/>
  <c r="E17" i="4"/>
  <c r="B18" i="4"/>
  <c r="E18" i="4"/>
  <c r="A16" i="4"/>
  <c r="D16" i="4"/>
  <c r="A17" i="4"/>
  <c r="C14" i="4"/>
  <c r="D52" i="5"/>
  <c r="D64" i="5" s="1"/>
  <c r="F52" i="5"/>
  <c r="F64" i="5" s="1"/>
  <c r="H65" i="5" l="1"/>
  <c r="A29" i="4" a="1"/>
  <c r="A33" i="4" s="1"/>
  <c r="A32" i="4" l="1"/>
  <c r="A34" i="4"/>
  <c r="A31" i="4"/>
  <c r="A29" i="4"/>
  <c r="A30" i="4"/>
  <c r="B44" i="4" l="1"/>
  <c r="B29" i="4" a="1"/>
  <c r="B29" i="4" l="1"/>
  <c r="B30" i="4" s="1"/>
  <c r="E29" i="4"/>
  <c r="E30" i="4" s="1"/>
  <c r="F29" i="4"/>
  <c r="F30" i="4" s="1"/>
  <c r="C29" i="4"/>
  <c r="C30" i="4" s="1"/>
  <c r="D29" i="4"/>
  <c r="D30" i="4" s="1"/>
  <c r="G29" i="4"/>
  <c r="G30" i="4" s="1"/>
  <c r="K4" i="5" l="1"/>
  <c r="K13" i="5"/>
  <c r="K8" i="5"/>
  <c r="K3" i="5"/>
  <c r="K7" i="5"/>
  <c r="K5" i="5"/>
  <c r="K9" i="5"/>
  <c r="K6" i="5"/>
  <c r="K10" i="5"/>
  <c r="K14" i="5"/>
  <c r="K12" i="5"/>
  <c r="K11" i="5"/>
  <c r="K15" i="5"/>
  <c r="M15" i="5" s="1"/>
  <c r="B36" i="4" l="1"/>
  <c r="L3" i="5"/>
  <c r="N3" i="5"/>
  <c r="M3" i="5"/>
  <c r="L5" i="5"/>
  <c r="N5" i="5"/>
  <c r="M5" i="5"/>
  <c r="M12" i="5"/>
  <c r="L12" i="5"/>
  <c r="N12" i="5"/>
  <c r="M9" i="5"/>
  <c r="L9" i="5"/>
  <c r="N9" i="5"/>
  <c r="L7" i="5"/>
  <c r="M7" i="5"/>
  <c r="N7" i="5"/>
  <c r="N13" i="5"/>
  <c r="L13" i="5"/>
  <c r="M13" i="5"/>
  <c r="M4" i="5"/>
  <c r="L4" i="5"/>
  <c r="N4" i="5"/>
  <c r="M11" i="5"/>
  <c r="N11" i="5"/>
  <c r="L11" i="5"/>
  <c r="N6" i="5"/>
  <c r="M6" i="5"/>
  <c r="L6" i="5"/>
  <c r="L15" i="5"/>
  <c r="N15" i="5"/>
  <c r="L8" i="5"/>
  <c r="M8" i="5"/>
  <c r="N8" i="5"/>
  <c r="M14" i="5"/>
  <c r="N14" i="5"/>
  <c r="L14" i="5"/>
  <c r="N10" i="5"/>
  <c r="L10" i="5"/>
  <c r="M10" i="5"/>
  <c r="M16" i="5" l="1"/>
  <c r="L16" i="5"/>
  <c r="N16" i="5"/>
  <c r="B41" i="4"/>
  <c r="B40" i="4"/>
  <c r="B42" i="4"/>
  <c r="B53" i="6" l="1"/>
  <c r="B50" i="6"/>
</calcChain>
</file>

<file path=xl/sharedStrings.xml><?xml version="1.0" encoding="utf-8"?>
<sst xmlns="http://schemas.openxmlformats.org/spreadsheetml/2006/main" count="182" uniqueCount="146">
  <si>
    <t>Resumen</t>
  </si>
  <si>
    <t>Estadísticas de la regresión</t>
  </si>
  <si>
    <t>Coeficiente de correlación múltiple</t>
  </si>
  <si>
    <t>=&gt; R</t>
  </si>
  <si>
    <t>Coeficiente de determinación R^2</t>
  </si>
  <si>
    <t>=&gt; R^2</t>
  </si>
  <si>
    <t>R^2  ajustado</t>
  </si>
  <si>
    <t>=&gt; R^2 ajustado</t>
  </si>
  <si>
    <t>Error típico</t>
  </si>
  <si>
    <t>=&gt; RMSE</t>
  </si>
  <si>
    <t>Observaciones</t>
  </si>
  <si>
    <t>=&gt; n</t>
  </si>
  <si>
    <t>ANÁLISIS DE VARIANZA</t>
  </si>
  <si>
    <t>Grados de libertad</t>
  </si>
  <si>
    <t>Suma de cuadrados</t>
  </si>
  <si>
    <t>Promedio de los cuadrados</t>
  </si>
  <si>
    <t>F</t>
  </si>
  <si>
    <t>Valor crítico de F</t>
  </si>
  <si>
    <t>Regresión</t>
  </si>
  <si>
    <t>Residuos</t>
  </si>
  <si>
    <t>Total</t>
  </si>
  <si>
    <t>Coeficientes</t>
  </si>
  <si>
    <t>Estadístico t</t>
  </si>
  <si>
    <t>Probabilidad</t>
  </si>
  <si>
    <t>Inferior 95%</t>
  </si>
  <si>
    <t>Superior 95%</t>
  </si>
  <si>
    <t>Inferior 95,0%</t>
  </si>
  <si>
    <t>Superior 95,0%</t>
  </si>
  <si>
    <t>Intercepción</t>
  </si>
  <si>
    <t>Variable X 1</t>
  </si>
  <si>
    <t>Variable X 2</t>
  </si>
  <si>
    <t>Variable X 3</t>
  </si>
  <si>
    <t>Variable X 4</t>
  </si>
  <si>
    <t>Variable X 5</t>
  </si>
  <si>
    <t>Casas</t>
  </si>
  <si>
    <r>
      <t>Mts</t>
    </r>
    <r>
      <rPr>
        <b/>
        <vertAlign val="superscript"/>
        <sz val="12"/>
        <color theme="1"/>
        <rFont val="Calibri"/>
        <family val="2"/>
        <scheme val="minor"/>
      </rPr>
      <t>2</t>
    </r>
    <r>
      <rPr>
        <b/>
        <sz val="12"/>
        <color theme="1"/>
        <rFont val="Calibri"/>
        <family val="2"/>
        <scheme val="minor"/>
      </rPr>
      <t xml:space="preserve"> cubiertos</t>
    </r>
  </si>
  <si>
    <r>
      <t>Mts</t>
    </r>
    <r>
      <rPr>
        <b/>
        <vertAlign val="superscript"/>
        <sz val="12"/>
        <color theme="1"/>
        <rFont val="Calibri"/>
        <family val="2"/>
        <scheme val="minor"/>
      </rPr>
      <t>2</t>
    </r>
    <r>
      <rPr>
        <b/>
        <sz val="12"/>
        <color theme="1"/>
        <rFont val="Calibri"/>
        <family val="2"/>
        <scheme val="minor"/>
      </rPr>
      <t xml:space="preserve"> descubiertos</t>
    </r>
  </si>
  <si>
    <t>Antigüedad</t>
  </si>
  <si>
    <t>Estado general</t>
  </si>
  <si>
    <t>Cochera</t>
  </si>
  <si>
    <t>Precio en USD</t>
  </si>
  <si>
    <t>Precio en USD por regresión lineal</t>
  </si>
  <si>
    <t>Diferencia Precio ofertado vs regresión</t>
  </si>
  <si>
    <t>Diferencia Precio ofertado vs regresión con LN</t>
  </si>
  <si>
    <t>Propiedad 1</t>
  </si>
  <si>
    <t>Propiedad 2</t>
  </si>
  <si>
    <t>Propiedad 3</t>
  </si>
  <si>
    <t>Propiedad 4</t>
  </si>
  <si>
    <t>Propiedad 5</t>
  </si>
  <si>
    <t>Propiedad 6</t>
  </si>
  <si>
    <t>Propiedad 7</t>
  </si>
  <si>
    <t>Propiedad 8</t>
  </si>
  <si>
    <t>Propiedad 9</t>
  </si>
  <si>
    <t>Propiedad 10</t>
  </si>
  <si>
    <t>Propiedad 1 c/cochera</t>
  </si>
  <si>
    <t>Propiedad 2 c/cochera</t>
  </si>
  <si>
    <t>Propiedad 3 c/cochera</t>
  </si>
  <si>
    <t>Promedio</t>
  </si>
  <si>
    <t>Valor Casa propia</t>
  </si>
  <si>
    <t>Cálculos de matriz usando X_matrix (const, cub, desc, antig, estado, cochera)</t>
  </si>
  <si>
    <t>XtX (matriz 6x6)</t>
  </si>
  <si>
    <t>XtX_inv (MINVERSE of A5:F10)</t>
  </si>
  <si>
    <t>XtY (6x1)</t>
  </si>
  <si>
    <t>Betas (6x1) = XtX_inv * XtY</t>
  </si>
  <si>
    <t>mts_cubiertos</t>
  </si>
  <si>
    <t>mts_descubiertos</t>
  </si>
  <si>
    <t>antiguedad</t>
  </si>
  <si>
    <t>estado</t>
  </si>
  <si>
    <t>cochera</t>
  </si>
  <si>
    <t>SSE</t>
  </si>
  <si>
    <t>SST</t>
  </si>
  <si>
    <t>n</t>
  </si>
  <si>
    <t>número de observaciones (cuántas propiedades usamos)</t>
  </si>
  <si>
    <t>p</t>
  </si>
  <si>
    <t>parámetros del modelo incluyendo el intercepto</t>
  </si>
  <si>
    <t>R2</t>
  </si>
  <si>
    <t>R2 ajustado</t>
  </si>
  <si>
    <t>RMSE</t>
  </si>
  <si>
    <t>Root Mean Square Error (raíz del error cuadrático medio). Es una medida de cuánto, en promedio, se equivoca el modelo al predecir el precio. Se expresa en las mismas unidades que la variable (en este caso: dólares).</t>
  </si>
  <si>
    <t>Casa predicción</t>
  </si>
  <si>
    <t xml:space="preserve"> </t>
  </si>
  <si>
    <t>Precio ≈ β0 + β1·(m² cubiertos) + β2·(m² descubiertos) + β3·(antigüedad) + β4·(estado) + β5·(cochera)</t>
  </si>
  <si>
    <t>β5</t>
  </si>
  <si>
    <t>β4</t>
  </si>
  <si>
    <t>β3</t>
  </si>
  <si>
    <t>β2</t>
  </si>
  <si>
    <t>β1</t>
  </si>
  <si>
    <t>Siempre 1 (la constante)</t>
  </si>
  <si>
    <t>PREDICCIÓN</t>
  </si>
  <si>
    <t>prop</t>
  </si>
  <si>
    <t>const</t>
  </si>
  <si>
    <t>precio_usd</t>
  </si>
  <si>
    <t>y_pred</t>
  </si>
  <si>
    <t>residual</t>
  </si>
  <si>
    <t>Diferencia en %</t>
  </si>
  <si>
    <t>Diferencia en LN</t>
  </si>
  <si>
    <t>i ; j</t>
  </si>
  <si>
    <t>FÓRMULA SUMAPRODUCTO</t>
  </si>
  <si>
    <t>i2 ; j5</t>
  </si>
  <si>
    <t>Regresión lineal múltiple</t>
  </si>
  <si>
    <t>El programa busca números (llamados betas) que dicen cuánto aporta cada variable al precio. Luego suma todo y da un precio estimado.</t>
  </si>
  <si>
    <t>Fórmula fácil:</t>
  </si>
  <si>
    <t>Precio estimado = número base + (beta1 × m² cubiertos) + (beta2 × m² descubiertos) + ... + (betaN × cochera).
Cada beta se interpreta: “cada m² cubierto suma X dólares”, etc.</t>
  </si>
  <si>
    <t>¿Cómo sé si la estimación es buena?</t>
  </si>
  <si>
    <t>Lo miramos con el R². Si R² está cerca de 1 → las variables que elegí explican bien los precios. Si R² está cerca de 0 → esas variables no explican nada y la predicción no sirve. Por decir un ejemplo, un R² &gt; 0.7 es alto, un un R² &gt; 0.3 es bajo</t>
  </si>
  <si>
    <t>Otro número práctico que conviene mirar es el RMSE (error promedio). Es cuántos dólares, en promedio, se equivoca el modelo. Ejemplo: si RMSE = 18.000 USD y la predicción es 180.000 USD, una diferencia de 5.000 USD no es importante (está dentro del error típico).</t>
  </si>
  <si>
    <t>¿Cómo sé si una variable no es relevante?</t>
  </si>
  <si>
    <t>Mirá estas señales:</t>
  </si>
  <si>
    <t>Si se cumplen, probablemente no ayuda al modelo.</t>
  </si>
  <si>
    <t>Su coeficiente (beta) es casi 0 → aporta poco.</t>
  </si>
  <si>
    <t>Al sacarla, el R² ajustado no baja (o baja muy poco).</t>
  </si>
  <si>
    <t>Su error estándar es grande y el t-stat / p-valor indica que podría ser cero.</t>
  </si>
  <si>
    <t>¿Qué puedo hacer si una variable no aporta nada?</t>
  </si>
  <si>
    <t>Sacar esa variable del modelo.</t>
  </si>
  <si>
    <t>Buscar mejores variables (p. ej. ubicación exacta, expensas, estado de instalaciones, si fue reciclada).</t>
  </si>
  <si>
    <t>Aumentar la muestra (más comparables) para que el efecto se vea mejor.</t>
  </si>
  <si>
    <t>Probar transformar variables (ej. usar log(precio)) o combinar variables (ej. m² totales en vez de cubiertos+descubiertos).</t>
  </si>
  <si>
    <t>¿Cuándo confiar en la predicción para una nueva propiedad?</t>
  </si>
  <si>
    <t>Sus valores (m², antigüedad, etc.) están dentro del rango de los datos que usaste.</t>
  </si>
  <si>
    <t>No es un caso raro lo que estás intentando valuar.</t>
  </si>
  <si>
    <t>¿Cuándo NO confiar?</t>
  </si>
  <si>
    <t>Estás extrapolando (p. ej. predecir para 200 m² cuando los datos llegan a 110 m²).</t>
  </si>
  <si>
    <t>R² es bajo y/o los residuos muestran patrón (el error no es “aleatorio”).</t>
  </si>
  <si>
    <t>Hay variables duplicadas o multicolinealidad (ej. usás m² cubiertos y m² totales al mismo tiempo).</t>
  </si>
  <si>
    <t>¿Cómo verificar todo esto en Excel (pasos prácticos)?</t>
  </si>
  <si>
    <t>Datos → Análisis de datos → Regresión o la fórmula ESTIMACION.LINEAL</t>
  </si>
  <si>
    <t>Probar quitar una variable: recalculá R² ajustado y RMSE; si no empeoran, la variable era prescindible.</t>
  </si>
  <si>
    <t>¿Cómo saber cuál variable aporta más?</t>
  </si>
  <si>
    <t>Si al sacar una variable el R² baja mucho, esa variable aportaba bastante.</t>
  </si>
  <si>
    <t>La regresión te da una estimación razonable, no una verdad absoluta.</t>
  </si>
  <si>
    <t>Mirá R², RMSE, los residuos y las betas estandarizadas para juzgarla.</t>
  </si>
  <si>
    <t>Si una variable no ayuda, quitala; si falta info, buscá mejores variables o más datos.</t>
  </si>
  <si>
    <t>(Ojo: esto asume que los errores siguen una distribución parecida a la normal; sirve como guía).</t>
  </si>
  <si>
    <t>www.sinelefantesblancos.com.ar</t>
  </si>
  <si>
    <t>Confirmar la fórmula con Ctrl+Shift+Enter en versiones Excel 2016 y anteriores, no solamente dar Enter.</t>
  </si>
  <si>
    <t>En caso de usar versiones Excel 2016 y anteriores</t>
  </si>
  <si>
    <t>Seleccionar previamente el rango de salida correcto (ej. 6×6), por ejemplo acá selecciono las celdas A5:F10 y en la barra de fórmulas pongo =MMULT(TRANSPONER('Cálculos manuales'!C3:H15); 'Cálculos manuales'!C3:H15)</t>
  </si>
  <si>
    <t>Para que lo resuelva el Excel debemos ir a "Datos" -&gt; "Análisis de datos". Luego elegimos "Regresión"</t>
  </si>
  <si>
    <t>Cómo habilitar el complemento Analysis ToolPak en Excel 2016 o versiones anteriores
Abrí Excel.
Andá a Archivo → Opciones → Complementos.
Abajo, en “Administrar”, elegí Complementos de Excel y hacé clic en Ir….
Marcá la casilla "Herramientas para análisis" (o Analysis ToolPak) y aceptá.
Cerrá y volvé a abrir Excel si es necesario.
Ahora deberías ver en la pestaña Datos el botón "Análisis de datos" (a la derecha). Dentro está la opción de Regresión.</t>
  </si>
  <si>
    <t>=Propiedad!H5:H17</t>
  </si>
  <si>
    <t>Rango X de entrada:</t>
  </si>
  <si>
    <t>Rango Y de entrada:</t>
  </si>
  <si>
    <t>=Propiedad!C5:G17</t>
  </si>
  <si>
    <t>Seleccionar previamente el rango de salida correcto (ej. 1×6) porque son 5 variables + la intercepción, por ejemplo acá selecciono las celdas C30:H30 y en la barra de fórmulas pongo =ESTIMACION.LINEAL(H5:H17; C5:G17; VERDADERO; VERDADERO) y luego apreto Ctrl+Shift+Enter</t>
  </si>
  <si>
    <t>En fórmula rápido en Excel</t>
  </si>
  <si>
    <t>El RMSE es pequeño respecto al precio medio. (ej. USD 16.629 vs 179.312)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</si>
</sst>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17"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b/>
      <vertAlign val="superscript"/>
      <sz val="12"/>
      <color theme="1"/>
      <name val="Calibri"/>
      <family val="2"/>
      <scheme val="minor"/>
    </font>
    <font>
      <sz val="16"/>
      <color theme="0"/>
      <name val="Calibri"/>
      <family val="2"/>
      <scheme val="minor"/>
    </font>
    <font>
      <sz val="9"/>
      <color theme="1"/>
      <name val="Calibri"/>
      <family val="2"/>
      <scheme val="minor"/>
    </font>
    <font>
      <b/>
      <sz val="16"/>
      <color theme="1"/>
      <name val="Calibri"/>
      <family val="2"/>
      <scheme val="minor"/>
    </font>
    <font>
      <b/>
      <sz val="14"/>
      <color theme="0"/>
      <name val="Calibri"/>
      <family val="2"/>
      <scheme val="minor"/>
    </font>
    <font>
      <b/>
      <sz val="14"/>
      <color theme="1"/>
      <name val="Calibri"/>
      <family val="2"/>
      <scheme val="minor"/>
    </font>
    <font>
      <sz val="8"/>
      <color theme="1"/>
      <name val="Calibri"/>
      <family val="2"/>
      <scheme val="minor"/>
    </font>
    <font>
      <u/>
      <sz val="10"/>
      <color theme="10"/>
      <name val="Arial"/>
      <family val="2"/>
    </font>
    <font>
      <sz val="26"/>
      <color theme="10"/>
      <name val="Arial"/>
      <family val="2"/>
    </font>
    <font>
      <sz val="26"/>
      <color theme="1"/>
      <name val="Calibri"/>
      <family val="2"/>
      <scheme val="minor"/>
    </font>
    <font>
      <b/>
      <sz val="18"/>
      <color theme="0"/>
      <name val="Calibri"/>
      <family val="2"/>
      <scheme val="minor"/>
    </font>
    <font>
      <b/>
      <sz val="12"/>
      <name val="Calibri"/>
      <family val="2"/>
      <scheme val="minor"/>
    </font>
  </fonts>
  <fills count="15">
    <fill>
      <patternFill patternType="none"/>
    </fill>
    <fill>
      <patternFill patternType="gray125"/>
    </fill>
    <fill>
      <patternFill patternType="solid">
        <fgColor rgb="FFCCFFFF"/>
        <bgColor indexed="64"/>
      </patternFill>
    </fill>
    <fill>
      <patternFill patternType="solid">
        <fgColor theme="2"/>
        <bgColor indexed="64"/>
      </patternFill>
    </fill>
    <fill>
      <patternFill patternType="solid">
        <fgColor rgb="FFFFFF99"/>
        <bgColor indexed="64"/>
      </patternFill>
    </fill>
    <fill>
      <patternFill patternType="solid">
        <fgColor theme="8" tint="-0.49998474074526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7" tint="0.79998168889431442"/>
        <bgColor indexed="64"/>
      </patternFill>
    </fill>
  </fills>
  <borders count="16">
    <border>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9" fontId="1"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alignment vertical="top"/>
      <protection locked="0"/>
    </xf>
  </cellStyleXfs>
  <cellXfs count="72">
    <xf numFmtId="0" fontId="0" fillId="0" borderId="0" xfId="0"/>
    <xf numFmtId="0" fontId="3" fillId="0" borderId="1" xfId="0" applyFont="1" applyFill="1" applyBorder="1" applyAlignment="1">
      <alignment horizontal="centerContinuous"/>
    </xf>
    <xf numFmtId="0" fontId="0" fillId="0" borderId="0" xfId="0" applyFill="1" applyBorder="1" applyAlignment="1"/>
    <xf numFmtId="49" fontId="0" fillId="2" borderId="2" xfId="0" applyNumberFormat="1" applyFill="1" applyBorder="1"/>
    <xf numFmtId="49" fontId="0" fillId="2" borderId="3" xfId="0" applyNumberFormat="1" applyFill="1" applyBorder="1"/>
    <xf numFmtId="0" fontId="0" fillId="0" borderId="4" xfId="0" applyFill="1" applyBorder="1" applyAlignment="1"/>
    <xf numFmtId="49" fontId="0" fillId="2" borderId="5" xfId="0" applyNumberFormat="1" applyFill="1" applyBorder="1"/>
    <xf numFmtId="0" fontId="3" fillId="0" borderId="1" xfId="0" applyFont="1" applyFill="1" applyBorder="1" applyAlignment="1">
      <alignment horizontal="center"/>
    </xf>
    <xf numFmtId="0" fontId="0" fillId="0" borderId="0" xfId="0" applyAlignment="1">
      <alignment vertical="center" wrapText="1"/>
    </xf>
    <xf numFmtId="0" fontId="4" fillId="0" borderId="7" xfId="0" applyFont="1" applyBorder="1" applyAlignment="1">
      <alignment vertical="center"/>
    </xf>
    <xf numFmtId="0" fontId="4" fillId="0" borderId="7" xfId="0" applyFont="1" applyBorder="1" applyAlignment="1">
      <alignment horizontal="center" vertical="center"/>
    </xf>
    <xf numFmtId="0" fontId="0" fillId="0" borderId="0" xfId="0" applyAlignment="1">
      <alignment vertical="center"/>
    </xf>
    <xf numFmtId="10" fontId="4" fillId="0" borderId="7" xfId="0" applyNumberFormat="1" applyFont="1" applyBorder="1" applyAlignment="1">
      <alignment horizontal="center" vertical="center"/>
    </xf>
    <xf numFmtId="4" fontId="4" fillId="0" borderId="7" xfId="0" applyNumberFormat="1" applyFont="1" applyBorder="1" applyAlignment="1">
      <alignment horizontal="center" vertical="center"/>
    </xf>
    <xf numFmtId="3" fontId="4" fillId="4" borderId="7" xfId="0" applyNumberFormat="1" applyFont="1" applyFill="1" applyBorder="1" applyAlignment="1">
      <alignment horizontal="center" vertical="center"/>
    </xf>
    <xf numFmtId="0" fontId="6" fillId="5" borderId="7" xfId="0" applyFont="1" applyFill="1" applyBorder="1" applyAlignment="1">
      <alignment horizontal="center" vertical="center"/>
    </xf>
    <xf numFmtId="3" fontId="0" fillId="0" borderId="0" xfId="0" applyNumberFormat="1"/>
    <xf numFmtId="2" fontId="0" fillId="0" borderId="0" xfId="0" applyNumberFormat="1"/>
    <xf numFmtId="0" fontId="7" fillId="0" borderId="0" xfId="0" applyFont="1"/>
    <xf numFmtId="0" fontId="8" fillId="0" borderId="7" xfId="0" applyFont="1" applyBorder="1" applyAlignment="1">
      <alignment horizontal="center" vertical="center"/>
    </xf>
    <xf numFmtId="4" fontId="8" fillId="4" borderId="7" xfId="0" applyNumberFormat="1" applyFont="1" applyFill="1" applyBorder="1" applyAlignment="1">
      <alignment horizontal="center" vertical="center"/>
    </xf>
    <xf numFmtId="0" fontId="0" fillId="0" borderId="7" xfId="0" applyBorder="1" applyAlignment="1">
      <alignment horizontal="center" vertical="center"/>
    </xf>
    <xf numFmtId="2" fontId="0" fillId="0" borderId="7" xfId="0" applyNumberFormat="1" applyBorder="1" applyAlignment="1">
      <alignment horizontal="center" vertical="center"/>
    </xf>
    <xf numFmtId="0" fontId="0" fillId="0" borderId="0" xfId="0" applyAlignment="1">
      <alignment horizontal="center" vertical="center"/>
    </xf>
    <xf numFmtId="0" fontId="2" fillId="6" borderId="7" xfId="0" applyFont="1" applyFill="1" applyBorder="1" applyAlignment="1">
      <alignment horizontal="center" vertical="center" wrapText="1"/>
    </xf>
    <xf numFmtId="0" fontId="0" fillId="0" borderId="0" xfId="0" applyAlignment="1">
      <alignment horizontal="center" vertical="center" wrapText="1"/>
    </xf>
    <xf numFmtId="0" fontId="2" fillId="0" borderId="7" xfId="0" applyFont="1" applyBorder="1" applyAlignment="1">
      <alignment horizontal="left" vertical="center"/>
    </xf>
    <xf numFmtId="0" fontId="2" fillId="0" borderId="7" xfId="0" applyFont="1" applyBorder="1" applyAlignment="1">
      <alignment horizontal="center" vertical="center"/>
    </xf>
    <xf numFmtId="3" fontId="2" fillId="0" borderId="7" xfId="0" applyNumberFormat="1" applyFont="1" applyBorder="1" applyAlignment="1">
      <alignment horizontal="center" vertical="center"/>
    </xf>
    <xf numFmtId="4" fontId="0" fillId="0" borderId="7" xfId="0" applyNumberFormat="1" applyBorder="1" applyAlignment="1">
      <alignment horizontal="center" vertical="center"/>
    </xf>
    <xf numFmtId="10" fontId="0" fillId="0" borderId="7" xfId="1" applyNumberFormat="1" applyFont="1" applyBorder="1" applyAlignment="1">
      <alignment horizontal="center" vertical="center"/>
    </xf>
    <xf numFmtId="0" fontId="0" fillId="0" borderId="7" xfId="0" applyBorder="1" applyAlignment="1">
      <alignment horizontal="center" vertical="center" wrapText="1"/>
    </xf>
    <xf numFmtId="3" fontId="0" fillId="0" borderId="0" xfId="0" applyNumberFormat="1" applyAlignment="1">
      <alignment horizontal="center" vertical="center"/>
    </xf>
    <xf numFmtId="0" fontId="10" fillId="0" borderId="7" xfId="0" applyFont="1" applyBorder="1" applyAlignment="1">
      <alignment horizontal="center" vertical="center" wrapText="1"/>
    </xf>
    <xf numFmtId="0" fontId="0" fillId="0" borderId="0" xfId="0" applyBorder="1" applyAlignment="1">
      <alignment horizontal="center" vertical="center" wrapText="1"/>
    </xf>
    <xf numFmtId="0" fontId="0" fillId="0" borderId="7" xfId="0" applyNumberFormat="1" applyBorder="1" applyAlignment="1">
      <alignment horizontal="center" vertical="center" wrapText="1"/>
    </xf>
    <xf numFmtId="2" fontId="0" fillId="0" borderId="0" xfId="0" applyNumberFormat="1" applyAlignment="1">
      <alignment horizontal="center" vertical="center"/>
    </xf>
    <xf numFmtId="0" fontId="8" fillId="3" borderId="7" xfId="0" applyFont="1" applyFill="1" applyBorder="1" applyAlignment="1">
      <alignment horizontal="center" vertical="center" wrapText="1"/>
    </xf>
    <xf numFmtId="0" fontId="2" fillId="0" borderId="0" xfId="0" applyFont="1" applyAlignment="1">
      <alignment vertical="center" wrapText="1"/>
    </xf>
    <xf numFmtId="0" fontId="4" fillId="0" borderId="0" xfId="0" applyFont="1" applyAlignment="1">
      <alignment vertical="center" wrapText="1"/>
    </xf>
    <xf numFmtId="0" fontId="10" fillId="0" borderId="0" xfId="0" applyFont="1" applyAlignment="1">
      <alignment vertical="center" wrapText="1"/>
    </xf>
    <xf numFmtId="3" fontId="0" fillId="0" borderId="0" xfId="0" applyNumberFormat="1" applyAlignment="1">
      <alignment vertical="center"/>
    </xf>
    <xf numFmtId="4" fontId="0" fillId="0" borderId="0" xfId="0" applyNumberFormat="1" applyAlignment="1">
      <alignment vertical="center"/>
    </xf>
    <xf numFmtId="0" fontId="4" fillId="10" borderId="7" xfId="0" applyFont="1" applyFill="1" applyBorder="1" applyAlignment="1">
      <alignment horizontal="center" vertical="center" wrapText="1"/>
    </xf>
    <xf numFmtId="3" fontId="4" fillId="11" borderId="7" xfId="0" applyNumberFormat="1" applyFont="1" applyFill="1" applyBorder="1" applyAlignment="1">
      <alignment horizontal="center" vertical="center"/>
    </xf>
    <xf numFmtId="3" fontId="4" fillId="12" borderId="7" xfId="0" applyNumberFormat="1" applyFont="1" applyFill="1" applyBorder="1" applyAlignment="1">
      <alignment horizontal="center" vertical="center"/>
    </xf>
    <xf numFmtId="10" fontId="4" fillId="12" borderId="7" xfId="2" applyNumberFormat="1" applyFont="1" applyFill="1" applyBorder="1" applyAlignment="1">
      <alignment horizontal="center" vertical="center"/>
    </xf>
    <xf numFmtId="3" fontId="0" fillId="0" borderId="0" xfId="0" quotePrefix="1" applyNumberFormat="1"/>
    <xf numFmtId="10" fontId="2" fillId="0" borderId="0" xfId="1" applyNumberFormat="1" applyFont="1" applyAlignment="1">
      <alignment horizontal="center" vertical="center"/>
    </xf>
    <xf numFmtId="4" fontId="2" fillId="0" borderId="7" xfId="0" applyNumberFormat="1" applyFont="1" applyBorder="1" applyAlignment="1">
      <alignment horizontal="center"/>
    </xf>
    <xf numFmtId="164" fontId="0" fillId="0" borderId="0" xfId="0" applyNumberFormat="1"/>
    <xf numFmtId="0" fontId="13" fillId="7" borderId="10" xfId="3" applyNumberFormat="1" applyFont="1" applyFill="1" applyBorder="1" applyAlignment="1" applyProtection="1">
      <alignment horizontal="center" vertical="center"/>
    </xf>
    <xf numFmtId="0" fontId="14" fillId="7" borderId="11" xfId="0" applyFont="1" applyFill="1" applyBorder="1" applyAlignment="1" applyProtection="1"/>
    <xf numFmtId="0" fontId="14" fillId="7" borderId="12" xfId="0" applyFont="1" applyFill="1" applyBorder="1" applyAlignment="1" applyProtection="1"/>
    <xf numFmtId="0" fontId="15" fillId="13" borderId="7" xfId="0" applyFont="1" applyFill="1" applyBorder="1" applyAlignment="1">
      <alignment horizontal="center" vertical="center"/>
    </xf>
    <xf numFmtId="0" fontId="2" fillId="0" borderId="7" xfId="0" applyFont="1" applyBorder="1" applyAlignment="1">
      <alignment horizontal="left" vertical="center" wrapText="1"/>
    </xf>
    <xf numFmtId="0" fontId="16" fillId="6" borderId="14" xfId="0" applyFont="1" applyFill="1" applyBorder="1" applyAlignment="1">
      <alignment horizontal="center" vertical="center"/>
    </xf>
    <xf numFmtId="0" fontId="16" fillId="6" borderId="13" xfId="0" applyFont="1" applyFill="1" applyBorder="1" applyAlignment="1">
      <alignment horizontal="center" vertical="center"/>
    </xf>
    <xf numFmtId="0" fontId="16" fillId="6" borderId="15" xfId="0" applyFont="1" applyFill="1" applyBorder="1" applyAlignment="1">
      <alignment horizontal="center" vertical="center"/>
    </xf>
    <xf numFmtId="0" fontId="4" fillId="9" borderId="6" xfId="0" applyFont="1" applyFill="1" applyBorder="1" applyAlignment="1">
      <alignment horizontal="center" vertical="center" wrapText="1"/>
    </xf>
    <xf numFmtId="0" fontId="4" fillId="9" borderId="8" xfId="0" applyFont="1" applyFill="1" applyBorder="1" applyAlignment="1">
      <alignment horizontal="center" vertical="center" wrapText="1"/>
    </xf>
    <xf numFmtId="0" fontId="4" fillId="11" borderId="6" xfId="0" applyFont="1" applyFill="1" applyBorder="1" applyAlignment="1">
      <alignment horizontal="center" vertical="center" wrapText="1"/>
    </xf>
    <xf numFmtId="0" fontId="4" fillId="11" borderId="8" xfId="0" applyFont="1" applyFill="1" applyBorder="1" applyAlignment="1">
      <alignment horizontal="center" vertical="center" wrapText="1"/>
    </xf>
    <xf numFmtId="0" fontId="4" fillId="8" borderId="6" xfId="0" applyFont="1" applyFill="1" applyBorder="1" applyAlignment="1">
      <alignment horizontal="center" vertical="center" wrapText="1"/>
    </xf>
    <xf numFmtId="0" fontId="4" fillId="8" borderId="8" xfId="0" applyFont="1" applyFill="1" applyBorder="1" applyAlignment="1">
      <alignment horizontal="center" vertical="center" wrapText="1"/>
    </xf>
    <xf numFmtId="0" fontId="2" fillId="6" borderId="7" xfId="0" applyFont="1" applyFill="1" applyBorder="1" applyAlignment="1">
      <alignment horizontal="center" vertical="center"/>
    </xf>
    <xf numFmtId="0" fontId="0" fillId="14" borderId="7" xfId="0" applyFill="1" applyBorder="1" applyAlignment="1">
      <alignment horizontal="left" wrapText="1"/>
    </xf>
    <xf numFmtId="0" fontId="6" fillId="5" borderId="7" xfId="0" applyFont="1" applyFill="1" applyBorder="1" applyAlignment="1">
      <alignment horizontal="center"/>
    </xf>
    <xf numFmtId="0" fontId="6" fillId="5" borderId="7" xfId="0" applyFont="1" applyFill="1" applyBorder="1" applyAlignment="1">
      <alignment horizontal="center" vertical="center"/>
    </xf>
    <xf numFmtId="0" fontId="9" fillId="5" borderId="9" xfId="0" applyFont="1" applyFill="1" applyBorder="1" applyAlignment="1">
      <alignment horizontal="center" vertical="center"/>
    </xf>
    <xf numFmtId="0" fontId="2" fillId="0" borderId="7" xfId="0" applyFont="1" applyBorder="1" applyAlignment="1">
      <alignment horizontal="center" vertical="center"/>
    </xf>
    <xf numFmtId="0" fontId="11" fillId="0" borderId="0" xfId="0" applyFont="1" applyAlignment="1">
      <alignment horizontal="center" vertical="center" wrapText="1"/>
    </xf>
  </cellXfs>
  <cellStyles count="4">
    <cellStyle name="Hipervínculo" xfId="3" builtinId="8"/>
    <cellStyle name="Normal" xfId="0" builtinId="0"/>
    <cellStyle name="Porcentaje" xfId="1" builtinId="5"/>
    <cellStyle name="Porcentaje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790575</xdr:colOff>
      <xdr:row>21</xdr:row>
      <xdr:rowOff>76200</xdr:rowOff>
    </xdr:from>
    <xdr:to>
      <xdr:col>6</xdr:col>
      <xdr:colOff>257175</xdr:colOff>
      <xdr:row>28</xdr:row>
      <xdr:rowOff>95250</xdr:rowOff>
    </xdr:to>
    <xdr:cxnSp macro="">
      <xdr:nvCxnSpPr>
        <xdr:cNvPr id="3" name="Conector recto de flecha 2"/>
        <xdr:cNvCxnSpPr/>
      </xdr:nvCxnSpPr>
      <xdr:spPr>
        <a:xfrm flipH="1">
          <a:off x="2581275" y="6496050"/>
          <a:ext cx="3276600" cy="1524000"/>
        </a:xfrm>
        <a:prstGeom prst="straightConnector1">
          <a:avLst/>
        </a:prstGeom>
        <a:ln w="41275">
          <a:solidFill>
            <a:srgbClr val="FF0000"/>
          </a:solidFill>
          <a:tailEnd type="triangle"/>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428625</xdr:colOff>
      <xdr:row>8</xdr:row>
      <xdr:rowOff>180975</xdr:rowOff>
    </xdr:from>
    <xdr:to>
      <xdr:col>16</xdr:col>
      <xdr:colOff>714375</xdr:colOff>
      <xdr:row>18</xdr:row>
      <xdr:rowOff>133350</xdr:rowOff>
    </xdr:to>
    <xdr:pic>
      <xdr:nvPicPr>
        <xdr:cNvPr id="2"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53900" y="1952625"/>
          <a:ext cx="4857750" cy="1885950"/>
        </a:xfrm>
        <a:prstGeom prst="rect">
          <a:avLst/>
        </a:prstGeom>
        <a:ln w="38100" cap="sq">
          <a:solidFill>
            <a:srgbClr val="000000"/>
          </a:solidFill>
          <a:prstDash val="solid"/>
          <a:miter lim="800000"/>
        </a:ln>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381000</xdr:colOff>
      <xdr:row>19</xdr:row>
      <xdr:rowOff>66675</xdr:rowOff>
    </xdr:from>
    <xdr:to>
      <xdr:col>15</xdr:col>
      <xdr:colOff>361950</xdr:colOff>
      <xdr:row>37</xdr:row>
      <xdr:rowOff>171450</xdr:rowOff>
    </xdr:to>
    <xdr:pic>
      <xdr:nvPicPr>
        <xdr:cNvPr id="5" name="Imagen 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106275" y="3962400"/>
          <a:ext cx="3790950" cy="3543300"/>
        </a:xfrm>
        <a:prstGeom prst="rect">
          <a:avLst/>
        </a:prstGeom>
        <a:ln w="38100" cap="sq">
          <a:solidFill>
            <a:srgbClr val="000000"/>
          </a:solidFill>
          <a:prstDash val="solid"/>
          <a:miter lim="800000"/>
        </a:ln>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371475</xdr:colOff>
      <xdr:row>3</xdr:row>
      <xdr:rowOff>0</xdr:rowOff>
    </xdr:from>
    <xdr:to>
      <xdr:col>7</xdr:col>
      <xdr:colOff>809625</xdr:colOff>
      <xdr:row>8</xdr:row>
      <xdr:rowOff>9525</xdr:rowOff>
    </xdr:to>
    <xdr:sp macro="" textlink="">
      <xdr:nvSpPr>
        <xdr:cNvPr id="2" name="Flecha derecha 1"/>
        <xdr:cNvSpPr/>
      </xdr:nvSpPr>
      <xdr:spPr>
        <a:xfrm>
          <a:off x="7419975" y="647700"/>
          <a:ext cx="1504950" cy="962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476250</xdr:colOff>
      <xdr:row>20</xdr:row>
      <xdr:rowOff>38100</xdr:rowOff>
    </xdr:from>
    <xdr:to>
      <xdr:col>9</xdr:col>
      <xdr:colOff>695325</xdr:colOff>
      <xdr:row>23</xdr:row>
      <xdr:rowOff>28575</xdr:rowOff>
    </xdr:to>
    <xdr:sp macro="" textlink="">
      <xdr:nvSpPr>
        <xdr:cNvPr id="2" name="Es igual a 1">
          <a:extLst>
            <a:ext uri="{FF2B5EF4-FFF2-40B4-BE49-F238E27FC236}">
              <a16:creationId xmlns:a16="http://schemas.microsoft.com/office/drawing/2014/main" id="{9BF64C0E-B2A9-B2CA-9F12-70BD050C6E42}"/>
            </a:ext>
          </a:extLst>
        </xdr:cNvPr>
        <xdr:cNvSpPr/>
      </xdr:nvSpPr>
      <xdr:spPr>
        <a:xfrm>
          <a:off x="9144000" y="5000625"/>
          <a:ext cx="1285875" cy="676275"/>
        </a:xfrm>
        <a:prstGeom prst="mathEqual">
          <a:avLst/>
        </a:prstGeom>
        <a:solidFill>
          <a:schemeClr val="accent1"/>
        </a:solidFill>
        <a:ln>
          <a:extLst>
            <a:ext uri="{C807C97D-BFC1-408E-A445-0C87EB9F89A2}">
              <ask:lineSketchStyleProps xmlns:ask="http://schemas.microsoft.com/office/drawing/2018/sketchyshapes" xmlns="">
                <ask:type>
                  <ask:lineSketchNone/>
                </ask:type>
              </ask:lineSketchStyleProps>
            </a:ext>
          </a:extLs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solidFill>
              <a:schemeClr val="tx1"/>
            </a:solidFill>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sinelefantesblancos.com.ar/"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6"/>
  <sheetViews>
    <sheetView showGridLines="0" workbookViewId="0">
      <selection activeCell="H30" sqref="H30"/>
    </sheetView>
  </sheetViews>
  <sheetFormatPr baseColWidth="10" defaultRowHeight="15" x14ac:dyDescent="0.25"/>
  <cols>
    <col min="1" max="1" width="2.5703125" customWidth="1"/>
    <col min="2" max="2" width="24.28515625" customWidth="1"/>
    <col min="3" max="3" width="14.28515625" customWidth="1"/>
    <col min="4" max="4" width="15.140625" customWidth="1"/>
    <col min="5" max="5" width="14.28515625" customWidth="1"/>
    <col min="6" max="6" width="13.42578125" customWidth="1"/>
    <col min="7" max="7" width="14" bestFit="1" customWidth="1"/>
    <col min="8" max="8" width="20.5703125" bestFit="1" customWidth="1"/>
    <col min="9" max="9" width="13.140625" customWidth="1"/>
    <col min="10" max="10" width="13" customWidth="1"/>
    <col min="15" max="15" width="6.85546875" customWidth="1"/>
  </cols>
  <sheetData>
    <row r="1" spans="2:15" ht="34.5" thickBot="1" x14ac:dyDescent="0.55000000000000004">
      <c r="B1" s="51" t="s">
        <v>133</v>
      </c>
      <c r="C1" s="52"/>
      <c r="D1" s="52"/>
      <c r="E1" s="52"/>
      <c r="F1" s="52"/>
      <c r="G1" s="52"/>
      <c r="H1" s="53"/>
    </row>
    <row r="3" spans="2:15" s="8" customFormat="1" ht="57.75" customHeight="1" x14ac:dyDescent="0.25">
      <c r="B3" s="59" t="s">
        <v>34</v>
      </c>
      <c r="C3" s="43" t="s">
        <v>35</v>
      </c>
      <c r="D3" s="43" t="s">
        <v>36</v>
      </c>
      <c r="E3" s="43" t="s">
        <v>37</v>
      </c>
      <c r="F3" s="43" t="s">
        <v>38</v>
      </c>
      <c r="G3" s="43" t="s">
        <v>39</v>
      </c>
      <c r="H3" s="61" t="s">
        <v>40</v>
      </c>
      <c r="J3" s="63" t="s">
        <v>41</v>
      </c>
      <c r="K3" s="63" t="s">
        <v>42</v>
      </c>
      <c r="L3" s="63" t="s">
        <v>43</v>
      </c>
    </row>
    <row r="4" spans="2:15" s="8" customFormat="1" ht="41.25" customHeight="1" x14ac:dyDescent="0.25">
      <c r="B4" s="60"/>
      <c r="C4" s="43" t="s">
        <v>29</v>
      </c>
      <c r="D4" s="43" t="s">
        <v>30</v>
      </c>
      <c r="E4" s="43" t="s">
        <v>31</v>
      </c>
      <c r="F4" s="43" t="s">
        <v>32</v>
      </c>
      <c r="G4" s="43" t="s">
        <v>33</v>
      </c>
      <c r="H4" s="62"/>
      <c r="J4" s="64"/>
      <c r="K4" s="64"/>
      <c r="L4" s="64"/>
    </row>
    <row r="5" spans="2:15" s="11" customFormat="1" ht="21" customHeight="1" x14ac:dyDescent="0.25">
      <c r="B5" s="9" t="s">
        <v>44</v>
      </c>
      <c r="C5" s="10">
        <v>110</v>
      </c>
      <c r="D5" s="10">
        <v>36</v>
      </c>
      <c r="E5" s="10">
        <v>45</v>
      </c>
      <c r="F5" s="10">
        <v>5</v>
      </c>
      <c r="G5" s="10">
        <v>0</v>
      </c>
      <c r="H5" s="44">
        <v>160000</v>
      </c>
      <c r="J5" s="45">
        <f>$C$20+SUMPRODUCT($C$21:$G$21,C5:G5)</f>
        <v>166318.6676447122</v>
      </c>
      <c r="K5" s="46">
        <f t="shared" ref="K5" si="0">(H5/J5)-1</f>
        <v>-3.7991331545596863E-2</v>
      </c>
      <c r="L5" s="46">
        <f>LN(H5/J5)</f>
        <v>-3.8731817489665255E-2</v>
      </c>
      <c r="O5"/>
    </row>
    <row r="6" spans="2:15" s="11" customFormat="1" ht="21" customHeight="1" x14ac:dyDescent="0.25">
      <c r="B6" s="9" t="s">
        <v>45</v>
      </c>
      <c r="C6" s="10">
        <v>69</v>
      </c>
      <c r="D6" s="10">
        <v>10</v>
      </c>
      <c r="E6" s="10">
        <v>40</v>
      </c>
      <c r="F6" s="10">
        <v>7</v>
      </c>
      <c r="G6" s="10">
        <v>0</v>
      </c>
      <c r="H6" s="44">
        <v>155000</v>
      </c>
      <c r="J6" s="45">
        <f t="shared" ref="J6:J17" si="1">$C$20+SUMPRODUCT($C$21:$G$21,C6:G6)</f>
        <v>143897.80635444541</v>
      </c>
      <c r="K6" s="46">
        <f t="shared" ref="K6:K17" si="2">(H6/J6)-1</f>
        <v>7.7153321004824527E-2</v>
      </c>
      <c r="L6" s="46">
        <f t="shared" ref="L6:L17" si="3">LN(H6/J6)</f>
        <v>7.4321747378078756E-2</v>
      </c>
      <c r="O6"/>
    </row>
    <row r="7" spans="2:15" s="11" customFormat="1" ht="21" customHeight="1" x14ac:dyDescent="0.25">
      <c r="B7" s="9" t="s">
        <v>46</v>
      </c>
      <c r="C7" s="10">
        <v>70</v>
      </c>
      <c r="D7" s="10">
        <v>20</v>
      </c>
      <c r="E7" s="10">
        <v>55</v>
      </c>
      <c r="F7" s="10">
        <v>8</v>
      </c>
      <c r="G7" s="10">
        <v>0</v>
      </c>
      <c r="H7" s="44">
        <v>125000</v>
      </c>
      <c r="J7" s="45">
        <f t="shared" si="1"/>
        <v>143105.47869737202</v>
      </c>
      <c r="K7" s="46">
        <f t="shared" si="2"/>
        <v>-0.12651841747904025</v>
      </c>
      <c r="L7" s="46">
        <f t="shared" si="3"/>
        <v>-0.13526823432297305</v>
      </c>
      <c r="O7"/>
    </row>
    <row r="8" spans="2:15" s="11" customFormat="1" ht="21" customHeight="1" x14ac:dyDescent="0.25">
      <c r="B8" s="9" t="s">
        <v>47</v>
      </c>
      <c r="C8" s="10">
        <v>67</v>
      </c>
      <c r="D8" s="10">
        <v>30</v>
      </c>
      <c r="E8" s="10">
        <v>44</v>
      </c>
      <c r="F8" s="10">
        <v>6.5</v>
      </c>
      <c r="G8" s="10">
        <v>0</v>
      </c>
      <c r="H8" s="44">
        <v>147000</v>
      </c>
      <c r="J8" s="45">
        <f t="shared" si="1"/>
        <v>142861.38413043646</v>
      </c>
      <c r="K8" s="46">
        <f t="shared" si="2"/>
        <v>2.8969451015432357E-2</v>
      </c>
      <c r="L8" s="46">
        <f t="shared" si="3"/>
        <v>2.8557768379564422E-2</v>
      </c>
      <c r="O8"/>
    </row>
    <row r="9" spans="2:15" s="11" customFormat="1" ht="21" customHeight="1" x14ac:dyDescent="0.25">
      <c r="B9" s="9" t="s">
        <v>48</v>
      </c>
      <c r="C9" s="10">
        <v>64</v>
      </c>
      <c r="D9" s="10">
        <v>12</v>
      </c>
      <c r="E9" s="10">
        <v>55</v>
      </c>
      <c r="F9" s="10">
        <v>7</v>
      </c>
      <c r="G9" s="10">
        <v>0</v>
      </c>
      <c r="H9" s="44">
        <v>127500</v>
      </c>
      <c r="J9" s="45">
        <f t="shared" si="1"/>
        <v>136161.5562938588</v>
      </c>
      <c r="K9" s="46">
        <f t="shared" si="2"/>
        <v>-6.3612347931495061E-2</v>
      </c>
      <c r="L9" s="46">
        <f t="shared" si="3"/>
        <v>-6.5725730051529777E-2</v>
      </c>
      <c r="O9"/>
    </row>
    <row r="10" spans="2:15" s="11" customFormat="1" ht="21" customHeight="1" x14ac:dyDescent="0.25">
      <c r="B10" s="9" t="s">
        <v>49</v>
      </c>
      <c r="C10" s="10">
        <v>64</v>
      </c>
      <c r="D10" s="10">
        <v>20</v>
      </c>
      <c r="E10" s="10">
        <v>50</v>
      </c>
      <c r="F10" s="10">
        <v>7</v>
      </c>
      <c r="G10" s="10">
        <v>0</v>
      </c>
      <c r="H10" s="44">
        <v>120900</v>
      </c>
      <c r="J10" s="45">
        <f t="shared" si="1"/>
        <v>138853.15591316731</v>
      </c>
      <c r="K10" s="46">
        <f t="shared" si="2"/>
        <v>-0.1292959875135602</v>
      </c>
      <c r="L10" s="46">
        <f t="shared" si="3"/>
        <v>-0.13845318481267066</v>
      </c>
      <c r="O10"/>
    </row>
    <row r="11" spans="2:15" s="11" customFormat="1" ht="21" customHeight="1" x14ac:dyDescent="0.25">
      <c r="B11" s="9" t="s">
        <v>50</v>
      </c>
      <c r="C11" s="10">
        <v>60</v>
      </c>
      <c r="D11" s="10">
        <v>14</v>
      </c>
      <c r="E11" s="10">
        <v>65</v>
      </c>
      <c r="F11" s="10">
        <v>6.5</v>
      </c>
      <c r="G11" s="10">
        <v>0</v>
      </c>
      <c r="H11" s="44">
        <v>146000</v>
      </c>
      <c r="I11"/>
      <c r="J11" s="45">
        <f t="shared" si="1"/>
        <v>129571.56846881604</v>
      </c>
      <c r="K11" s="46">
        <f t="shared" si="2"/>
        <v>0.12679040413976139</v>
      </c>
      <c r="L11" s="46">
        <f t="shared" si="3"/>
        <v>0.11937324095591813</v>
      </c>
      <c r="O11"/>
    </row>
    <row r="12" spans="2:15" s="11" customFormat="1" ht="21" customHeight="1" x14ac:dyDescent="0.25">
      <c r="B12" s="9" t="s">
        <v>51</v>
      </c>
      <c r="C12" s="10">
        <v>84</v>
      </c>
      <c r="D12" s="10">
        <v>41</v>
      </c>
      <c r="E12" s="10">
        <v>25</v>
      </c>
      <c r="F12" s="10">
        <v>7</v>
      </c>
      <c r="G12" s="10">
        <v>0</v>
      </c>
      <c r="H12" s="44">
        <v>177000</v>
      </c>
      <c r="I12"/>
      <c r="J12" s="45">
        <f t="shared" si="1"/>
        <v>162075.07446013769</v>
      </c>
      <c r="K12" s="46">
        <f t="shared" si="2"/>
        <v>9.2086495036798999E-2</v>
      </c>
      <c r="L12" s="46">
        <f t="shared" si="3"/>
        <v>8.8090082095089089E-2</v>
      </c>
      <c r="O12"/>
    </row>
    <row r="13" spans="2:15" s="11" customFormat="1" ht="21" customHeight="1" x14ac:dyDescent="0.25">
      <c r="B13" s="9" t="s">
        <v>52</v>
      </c>
      <c r="C13" s="10">
        <v>63</v>
      </c>
      <c r="D13" s="10">
        <v>18</v>
      </c>
      <c r="E13" s="10">
        <v>15</v>
      </c>
      <c r="F13" s="10">
        <v>8</v>
      </c>
      <c r="G13" s="10">
        <v>0</v>
      </c>
      <c r="H13" s="44">
        <v>162000</v>
      </c>
      <c r="I13"/>
      <c r="J13" s="45">
        <f t="shared" si="1"/>
        <v>151718.18465618716</v>
      </c>
      <c r="K13" s="46">
        <f t="shared" si="2"/>
        <v>6.7769169312912325E-2</v>
      </c>
      <c r="L13" s="46">
        <f t="shared" si="3"/>
        <v>6.5571583575628076E-2</v>
      </c>
      <c r="O13"/>
    </row>
    <row r="14" spans="2:15" s="11" customFormat="1" ht="21" customHeight="1" x14ac:dyDescent="0.25">
      <c r="B14" s="9" t="s">
        <v>53</v>
      </c>
      <c r="C14" s="10">
        <v>74</v>
      </c>
      <c r="D14" s="10">
        <v>36</v>
      </c>
      <c r="E14" s="10">
        <v>45</v>
      </c>
      <c r="F14" s="10">
        <v>7.5</v>
      </c>
      <c r="G14" s="10">
        <v>0</v>
      </c>
      <c r="H14" s="44">
        <v>143990</v>
      </c>
      <c r="I14"/>
      <c r="J14" s="45">
        <f t="shared" si="1"/>
        <v>149827.1233808668</v>
      </c>
      <c r="K14" s="46">
        <f t="shared" si="2"/>
        <v>-3.895905660571608E-2</v>
      </c>
      <c r="L14" s="46">
        <f t="shared" si="3"/>
        <v>-3.9738265930562289E-2</v>
      </c>
      <c r="O14"/>
    </row>
    <row r="15" spans="2:15" ht="21" customHeight="1" x14ac:dyDescent="0.25">
      <c r="B15" s="9" t="s">
        <v>54</v>
      </c>
      <c r="C15" s="10">
        <v>74</v>
      </c>
      <c r="D15" s="10">
        <v>28</v>
      </c>
      <c r="E15" s="10">
        <v>25</v>
      </c>
      <c r="F15" s="10">
        <v>7</v>
      </c>
      <c r="G15" s="10">
        <v>1</v>
      </c>
      <c r="H15" s="44">
        <v>192000</v>
      </c>
      <c r="J15" s="45">
        <f t="shared" si="1"/>
        <v>193082.00397026393</v>
      </c>
      <c r="K15" s="46">
        <f t="shared" si="2"/>
        <v>-5.603857159212855E-3</v>
      </c>
      <c r="L15" s="46">
        <f t="shared" si="3"/>
        <v>-5.6196176741047264E-3</v>
      </c>
    </row>
    <row r="16" spans="2:15" ht="21" customHeight="1" x14ac:dyDescent="0.25">
      <c r="B16" s="9" t="s">
        <v>55</v>
      </c>
      <c r="C16" s="10">
        <v>91</v>
      </c>
      <c r="D16" s="10">
        <v>16</v>
      </c>
      <c r="E16" s="10">
        <v>55</v>
      </c>
      <c r="F16" s="10">
        <v>8.5</v>
      </c>
      <c r="G16" s="10">
        <v>1</v>
      </c>
      <c r="H16" s="44">
        <v>210000</v>
      </c>
      <c r="J16" s="45">
        <f t="shared" si="1"/>
        <v>195387.18103064393</v>
      </c>
      <c r="K16" s="46">
        <f t="shared" si="2"/>
        <v>7.4789036272877363E-2</v>
      </c>
      <c r="L16" s="46">
        <f t="shared" si="3"/>
        <v>7.2124396993436229E-2</v>
      </c>
    </row>
    <row r="17" spans="2:16" ht="21" customHeight="1" x14ac:dyDescent="0.25">
      <c r="B17" s="9" t="s">
        <v>56</v>
      </c>
      <c r="C17" s="10">
        <v>80</v>
      </c>
      <c r="D17" s="10">
        <v>15</v>
      </c>
      <c r="E17" s="10">
        <v>6</v>
      </c>
      <c r="F17" s="10">
        <v>8</v>
      </c>
      <c r="G17" s="10">
        <v>1</v>
      </c>
      <c r="H17" s="44">
        <v>190000</v>
      </c>
      <c r="J17" s="45">
        <f t="shared" si="1"/>
        <v>203530.81499909214</v>
      </c>
      <c r="K17" s="46">
        <f t="shared" si="2"/>
        <v>-6.6480424593949095E-2</v>
      </c>
      <c r="L17" s="46">
        <f t="shared" si="3"/>
        <v>-6.8793346315510706E-2</v>
      </c>
    </row>
    <row r="18" spans="2:16" ht="21" customHeight="1" x14ac:dyDescent="0.25">
      <c r="J18" s="10" t="s">
        <v>57</v>
      </c>
      <c r="K18" s="12">
        <f>AVERAGE(K5:K17)</f>
        <v>-6.9503541997187123E-5</v>
      </c>
      <c r="L18" s="12">
        <f>AVERAGE(L5:L17)</f>
        <v>-3.4070290168693664E-3</v>
      </c>
    </row>
    <row r="19" spans="2:16" ht="21" customHeight="1" x14ac:dyDescent="0.25"/>
    <row r="20" spans="2:16" ht="21" customHeight="1" x14ac:dyDescent="0.25">
      <c r="B20" s="9" t="s">
        <v>28</v>
      </c>
      <c r="C20" s="13">
        <f>'Excel&gt; Datos&gt; Análisis de datos'!$B$17</f>
        <v>97932.374491813403</v>
      </c>
    </row>
    <row r="21" spans="2:16" ht="21" customHeight="1" x14ac:dyDescent="0.25">
      <c r="B21" s="9" t="s">
        <v>21</v>
      </c>
      <c r="C21" s="13">
        <f>VLOOKUP(C4,'Excel&gt; Datos&gt; Análisis de datos'!$A$18:$B$22,2,FALSE)</f>
        <v>612.45731496603128</v>
      </c>
      <c r="D21" s="13">
        <f>VLOOKUP(D4,'Excel&gt; Datos&gt; Análisis de datos'!$A$18:$B$22,2,FALSE)</f>
        <v>130.80136046804097</v>
      </c>
      <c r="E21" s="13">
        <f>VLOOKUP(E4,'Excel&gt; Datos&gt; Análisis de datos'!$A$18:$B$22,2,FALSE)</f>
        <v>-329.03774711283614</v>
      </c>
      <c r="F21" s="13">
        <f>VLOOKUP(F4,'Excel&gt; Datos&gt; Análisis de datos'!$A$18:$B$22,2,FALSE)</f>
        <v>2222.7676299726986</v>
      </c>
      <c r="G21" s="13">
        <f>VLOOKUP(G4,'Excel&gt; Datos&gt; Análisis de datos'!$A$18:$B$22,2,FALSE)</f>
        <v>38831.920345871062</v>
      </c>
    </row>
    <row r="22" spans="2:16" ht="21" customHeight="1" x14ac:dyDescent="0.25">
      <c r="B22" s="9" t="s">
        <v>58</v>
      </c>
      <c r="C22" s="10">
        <v>70</v>
      </c>
      <c r="D22" s="10">
        <v>38</v>
      </c>
      <c r="E22" s="10">
        <v>60</v>
      </c>
      <c r="F22" s="10">
        <v>6.5</v>
      </c>
      <c r="G22" s="10">
        <v>1</v>
      </c>
      <c r="H22" s="14">
        <f>C20+SUMPRODUCT(C21:G21,C22:G22)</f>
        <v>179312.48335114459</v>
      </c>
    </row>
    <row r="23" spans="2:16" ht="22.5" customHeight="1" x14ac:dyDescent="0.25"/>
    <row r="26" spans="2:16" x14ac:dyDescent="0.25">
      <c r="J26" s="54" t="s">
        <v>135</v>
      </c>
      <c r="K26" s="54"/>
      <c r="L26" s="54"/>
      <c r="M26" s="54"/>
      <c r="N26" s="54"/>
      <c r="O26" s="54"/>
      <c r="P26" s="54"/>
    </row>
    <row r="27" spans="2:16" x14ac:dyDescent="0.25">
      <c r="J27" s="54"/>
      <c r="K27" s="54"/>
      <c r="L27" s="54"/>
      <c r="M27" s="54"/>
      <c r="N27" s="54"/>
      <c r="O27" s="54"/>
      <c r="P27" s="54"/>
    </row>
    <row r="28" spans="2:16" ht="23.25" customHeight="1" x14ac:dyDescent="0.25">
      <c r="C28" s="56" t="s">
        <v>144</v>
      </c>
      <c r="D28" s="57"/>
      <c r="E28" s="57"/>
      <c r="F28" s="57"/>
      <c r="G28" s="57"/>
      <c r="H28" s="58"/>
      <c r="J28" s="54"/>
      <c r="K28" s="54"/>
      <c r="L28" s="54"/>
      <c r="M28" s="54"/>
      <c r="N28" s="54"/>
      <c r="O28" s="54"/>
      <c r="P28" s="54"/>
    </row>
    <row r="29" spans="2:16" x14ac:dyDescent="0.25">
      <c r="C29" s="27" t="s">
        <v>82</v>
      </c>
      <c r="D29" s="27" t="s">
        <v>83</v>
      </c>
      <c r="E29" s="27" t="s">
        <v>84</v>
      </c>
      <c r="F29" s="27" t="s">
        <v>85</v>
      </c>
      <c r="G29" s="27" t="s">
        <v>86</v>
      </c>
      <c r="H29" s="27" t="s">
        <v>28</v>
      </c>
      <c r="J29" s="55" t="s">
        <v>134</v>
      </c>
      <c r="K29" s="55"/>
      <c r="L29" s="55"/>
      <c r="M29" s="55"/>
      <c r="N29" s="55"/>
      <c r="O29" s="55"/>
      <c r="P29" s="55"/>
    </row>
    <row r="30" spans="2:16" x14ac:dyDescent="0.25">
      <c r="C30" s="49">
        <f t="array" ref="C30:H30">LINEST(H5:H17, C5:G17, TRUE, TRUE)</f>
        <v>38831.920345871062</v>
      </c>
      <c r="D30" s="49">
        <v>2222.7676299726986</v>
      </c>
      <c r="E30" s="49">
        <v>-329.03774711283614</v>
      </c>
      <c r="F30" s="49">
        <v>130.80136046804097</v>
      </c>
      <c r="G30" s="49">
        <v>612.45731496603128</v>
      </c>
      <c r="H30" s="49">
        <v>97932.374491813403</v>
      </c>
      <c r="J30" s="55"/>
      <c r="K30" s="55"/>
      <c r="L30" s="55"/>
      <c r="M30" s="55"/>
      <c r="N30" s="55"/>
      <c r="O30" s="55"/>
      <c r="P30" s="55"/>
    </row>
    <row r="31" spans="2:16" ht="15" customHeight="1" x14ac:dyDescent="0.25">
      <c r="J31" s="55" t="s">
        <v>143</v>
      </c>
      <c r="K31" s="55"/>
      <c r="L31" s="55"/>
      <c r="M31" s="55"/>
      <c r="N31" s="55"/>
      <c r="O31" s="55"/>
      <c r="P31" s="55"/>
    </row>
    <row r="32" spans="2:16" x14ac:dyDescent="0.25">
      <c r="J32" s="55"/>
      <c r="K32" s="55"/>
      <c r="L32" s="55"/>
      <c r="M32" s="55"/>
      <c r="N32" s="55"/>
      <c r="O32" s="55"/>
      <c r="P32" s="55"/>
    </row>
    <row r="33" spans="10:16" x14ac:dyDescent="0.25">
      <c r="J33" s="55"/>
      <c r="K33" s="55"/>
      <c r="L33" s="55"/>
      <c r="M33" s="55"/>
      <c r="N33" s="55"/>
      <c r="O33" s="55"/>
      <c r="P33" s="55"/>
    </row>
    <row r="34" spans="10:16" x14ac:dyDescent="0.25">
      <c r="J34" s="55"/>
      <c r="K34" s="55"/>
      <c r="L34" s="55"/>
      <c r="M34" s="55"/>
      <c r="N34" s="55"/>
      <c r="O34" s="55"/>
      <c r="P34" s="55"/>
    </row>
    <row r="35" spans="10:16" x14ac:dyDescent="0.25">
      <c r="J35" s="55"/>
      <c r="K35" s="55"/>
      <c r="L35" s="55"/>
      <c r="M35" s="55"/>
      <c r="N35" s="55"/>
      <c r="O35" s="55"/>
      <c r="P35" s="55"/>
    </row>
    <row r="36" spans="10:16" x14ac:dyDescent="0.25">
      <c r="J36" s="55"/>
      <c r="K36" s="55"/>
      <c r="L36" s="55"/>
      <c r="M36" s="55"/>
      <c r="N36" s="55"/>
      <c r="O36" s="55"/>
      <c r="P36" s="55"/>
    </row>
  </sheetData>
  <mergeCells count="10">
    <mergeCell ref="B1:H1"/>
    <mergeCell ref="J26:P28"/>
    <mergeCell ref="J29:P30"/>
    <mergeCell ref="J31:P36"/>
    <mergeCell ref="C28:H28"/>
    <mergeCell ref="B3:B4"/>
    <mergeCell ref="H3:H4"/>
    <mergeCell ref="J3:J4"/>
    <mergeCell ref="K3:K4"/>
    <mergeCell ref="L3:L4"/>
  </mergeCells>
  <hyperlinks>
    <hyperlink ref="B1" r:id="rId1"/>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showGridLines="0" workbookViewId="0">
      <selection activeCell="B8" sqref="B8"/>
    </sheetView>
  </sheetViews>
  <sheetFormatPr baseColWidth="10" defaultRowHeight="15" x14ac:dyDescent="0.25"/>
  <cols>
    <col min="1" max="1" width="32.85546875" bestFit="1" customWidth="1"/>
    <col min="2" max="2" width="17.7109375" bestFit="1" customWidth="1"/>
    <col min="3" max="3" width="19" bestFit="1" customWidth="1"/>
    <col min="4" max="4" width="25.42578125" bestFit="1" customWidth="1"/>
    <col min="5" max="5" width="12.7109375" bestFit="1" customWidth="1"/>
    <col min="6" max="6" width="15.85546875" bestFit="1" customWidth="1"/>
    <col min="7" max="7" width="12.85546875" bestFit="1" customWidth="1"/>
    <col min="8" max="8" width="13.5703125" bestFit="1" customWidth="1"/>
    <col min="9" max="9" width="14.42578125" bestFit="1" customWidth="1"/>
  </cols>
  <sheetData>
    <row r="1" spans="1:14" ht="32.25" customHeight="1" x14ac:dyDescent="0.25">
      <c r="A1" t="s">
        <v>0</v>
      </c>
      <c r="B1" s="65" t="s">
        <v>137</v>
      </c>
      <c r="C1" s="65"/>
      <c r="D1" s="65"/>
      <c r="E1" s="65"/>
      <c r="F1" s="65"/>
      <c r="G1" s="65"/>
      <c r="H1" s="65"/>
      <c r="I1" s="65"/>
      <c r="J1" s="65"/>
      <c r="K1" s="65"/>
    </row>
    <row r="2" spans="1:14" ht="15.75" thickBot="1" x14ac:dyDescent="0.3"/>
    <row r="3" spans="1:14" ht="15.75" customHeight="1" thickBot="1" x14ac:dyDescent="0.3">
      <c r="A3" s="1" t="s">
        <v>1</v>
      </c>
      <c r="B3" s="1"/>
      <c r="F3" s="66" t="s">
        <v>138</v>
      </c>
      <c r="G3" s="66"/>
      <c r="H3" s="66"/>
      <c r="I3" s="66"/>
      <c r="J3" s="66"/>
      <c r="K3" s="66"/>
      <c r="L3" s="66"/>
      <c r="M3" s="66"/>
      <c r="N3" s="66"/>
    </row>
    <row r="4" spans="1:14" x14ac:dyDescent="0.25">
      <c r="A4" s="2" t="s">
        <v>2</v>
      </c>
      <c r="B4" s="2">
        <v>0.88769267566223753</v>
      </c>
      <c r="C4" s="3" t="s">
        <v>3</v>
      </c>
      <c r="F4" s="66"/>
      <c r="G4" s="66"/>
      <c r="H4" s="66"/>
      <c r="I4" s="66"/>
      <c r="J4" s="66"/>
      <c r="K4" s="66"/>
      <c r="L4" s="66"/>
      <c r="M4" s="66"/>
      <c r="N4" s="66"/>
    </row>
    <row r="5" spans="1:14" x14ac:dyDescent="0.25">
      <c r="A5" s="2" t="s">
        <v>4</v>
      </c>
      <c r="B5" s="2">
        <v>0.78799828642438252</v>
      </c>
      <c r="C5" s="4" t="s">
        <v>5</v>
      </c>
      <c r="F5" s="66"/>
      <c r="G5" s="66"/>
      <c r="H5" s="66"/>
      <c r="I5" s="66"/>
      <c r="J5" s="66"/>
      <c r="K5" s="66"/>
      <c r="L5" s="66"/>
      <c r="M5" s="66"/>
      <c r="N5" s="66"/>
    </row>
    <row r="6" spans="1:14" x14ac:dyDescent="0.25">
      <c r="A6" s="2" t="s">
        <v>6</v>
      </c>
      <c r="B6" s="2">
        <v>0.63656849101322721</v>
      </c>
      <c r="C6" s="4" t="s">
        <v>7</v>
      </c>
      <c r="F6" s="66"/>
      <c r="G6" s="66"/>
      <c r="H6" s="66"/>
      <c r="I6" s="66"/>
      <c r="J6" s="66"/>
      <c r="K6" s="66"/>
      <c r="L6" s="66"/>
      <c r="M6" s="66"/>
      <c r="N6" s="66"/>
    </row>
    <row r="7" spans="1:14" x14ac:dyDescent="0.25">
      <c r="A7" s="2" t="s">
        <v>8</v>
      </c>
      <c r="B7" s="2">
        <v>16629.0700531765</v>
      </c>
      <c r="C7" s="4" t="s">
        <v>9</v>
      </c>
      <c r="F7" s="66"/>
      <c r="G7" s="66"/>
      <c r="H7" s="66"/>
      <c r="I7" s="66"/>
      <c r="J7" s="66"/>
      <c r="K7" s="66"/>
      <c r="L7" s="66"/>
      <c r="M7" s="66"/>
      <c r="N7" s="66"/>
    </row>
    <row r="8" spans="1:14" ht="15.75" thickBot="1" x14ac:dyDescent="0.3">
      <c r="A8" s="5" t="s">
        <v>10</v>
      </c>
      <c r="B8" s="5">
        <v>13</v>
      </c>
      <c r="C8" s="6" t="s">
        <v>11</v>
      </c>
      <c r="F8" s="66"/>
      <c r="G8" s="66"/>
      <c r="H8" s="66"/>
      <c r="I8" s="66"/>
      <c r="J8" s="66"/>
      <c r="K8" s="66"/>
      <c r="L8" s="66"/>
      <c r="M8" s="66"/>
      <c r="N8" s="66"/>
    </row>
    <row r="10" spans="1:14" ht="15.75" thickBot="1" x14ac:dyDescent="0.3">
      <c r="A10" t="s">
        <v>12</v>
      </c>
    </row>
    <row r="11" spans="1:14" x14ac:dyDescent="0.25">
      <c r="A11" s="7"/>
      <c r="B11" s="7" t="s">
        <v>13</v>
      </c>
      <c r="C11" s="7" t="s">
        <v>14</v>
      </c>
      <c r="D11" s="7" t="s">
        <v>15</v>
      </c>
      <c r="E11" s="7" t="s">
        <v>16</v>
      </c>
      <c r="F11" s="7" t="s">
        <v>17</v>
      </c>
    </row>
    <row r="12" spans="1:14" x14ac:dyDescent="0.25">
      <c r="A12" s="2" t="s">
        <v>18</v>
      </c>
      <c r="B12" s="2">
        <v>5</v>
      </c>
      <c r="C12" s="2">
        <v>7194818911.8581495</v>
      </c>
      <c r="D12" s="2">
        <v>1438963782.37163</v>
      </c>
      <c r="E12" s="2">
        <v>5.2037202076701297</v>
      </c>
      <c r="F12" s="2">
        <v>2.6003475712424517E-2</v>
      </c>
    </row>
    <row r="13" spans="1:14" x14ac:dyDescent="0.25">
      <c r="A13" s="2" t="s">
        <v>19</v>
      </c>
      <c r="B13" s="2">
        <v>7</v>
      </c>
      <c r="C13" s="2">
        <v>1935681795.8341572</v>
      </c>
      <c r="D13" s="2">
        <v>276525970.83345103</v>
      </c>
      <c r="E13" s="2"/>
      <c r="F13" s="2"/>
    </row>
    <row r="14" spans="1:14" ht="15.75" thickBot="1" x14ac:dyDescent="0.3">
      <c r="A14" s="5" t="s">
        <v>20</v>
      </c>
      <c r="B14" s="5">
        <v>12</v>
      </c>
      <c r="C14" s="5">
        <v>9130500707.6923065</v>
      </c>
      <c r="D14" s="5"/>
      <c r="E14" s="5"/>
      <c r="F14" s="5"/>
    </row>
    <row r="15" spans="1:14" ht="15.75" thickBot="1" x14ac:dyDescent="0.3"/>
    <row r="16" spans="1:14" x14ac:dyDescent="0.25">
      <c r="A16" s="7"/>
      <c r="B16" s="7" t="s">
        <v>21</v>
      </c>
      <c r="C16" s="7" t="s">
        <v>8</v>
      </c>
      <c r="D16" s="7" t="s">
        <v>22</v>
      </c>
      <c r="E16" s="7" t="s">
        <v>23</v>
      </c>
      <c r="F16" s="7" t="s">
        <v>24</v>
      </c>
      <c r="G16" s="7" t="s">
        <v>25</v>
      </c>
      <c r="H16" s="7" t="s">
        <v>26</v>
      </c>
      <c r="I16" s="7" t="s">
        <v>27</v>
      </c>
    </row>
    <row r="17" spans="1:9" x14ac:dyDescent="0.25">
      <c r="A17" s="2" t="s">
        <v>28</v>
      </c>
      <c r="B17" s="2">
        <v>97932.374491813403</v>
      </c>
      <c r="C17" s="2">
        <v>71497.686028789481</v>
      </c>
      <c r="D17" s="2">
        <v>1.3697278881498298</v>
      </c>
      <c r="E17" s="2">
        <v>0.21309000521176338</v>
      </c>
      <c r="F17" s="2">
        <v>-71132.787824628831</v>
      </c>
      <c r="G17" s="2">
        <v>266997.53680825565</v>
      </c>
      <c r="H17" s="2">
        <v>-71132.787824628831</v>
      </c>
      <c r="I17" s="2">
        <v>266997.53680825565</v>
      </c>
    </row>
    <row r="18" spans="1:9" x14ac:dyDescent="0.25">
      <c r="A18" s="2" t="s">
        <v>29</v>
      </c>
      <c r="B18" s="2">
        <v>612.45731496603128</v>
      </c>
      <c r="C18" s="2">
        <v>476.38140105967369</v>
      </c>
      <c r="D18" s="2">
        <v>1.2856448921046606</v>
      </c>
      <c r="E18" s="2">
        <v>0.23946167278794253</v>
      </c>
      <c r="F18" s="2">
        <v>-514.00569898742185</v>
      </c>
      <c r="G18" s="2">
        <v>1738.9203289194843</v>
      </c>
      <c r="H18" s="2">
        <v>-514.00569898742185</v>
      </c>
      <c r="I18" s="2">
        <v>1738.9203289194843</v>
      </c>
    </row>
    <row r="19" spans="1:9" x14ac:dyDescent="0.25">
      <c r="A19" s="2" t="s">
        <v>30</v>
      </c>
      <c r="B19" s="2">
        <v>130.80136046804097</v>
      </c>
      <c r="C19" s="2">
        <v>614.07534136798154</v>
      </c>
      <c r="D19" s="2">
        <v>0.21300539470719265</v>
      </c>
      <c r="E19" s="2">
        <v>0.83739323778008878</v>
      </c>
      <c r="F19" s="2">
        <v>-1321.2560840358062</v>
      </c>
      <c r="G19" s="2">
        <v>1582.858804971888</v>
      </c>
      <c r="H19" s="2">
        <v>-1321.2560840358062</v>
      </c>
      <c r="I19" s="2">
        <v>1582.858804971888</v>
      </c>
    </row>
    <row r="20" spans="1:9" x14ac:dyDescent="0.25">
      <c r="A20" s="2" t="s">
        <v>31</v>
      </c>
      <c r="B20" s="2">
        <v>-329.03774711283614</v>
      </c>
      <c r="C20" s="2">
        <v>313.99476464727923</v>
      </c>
      <c r="D20" s="2">
        <v>-1.0479083862511376</v>
      </c>
      <c r="E20" s="2">
        <v>0.32950894276652426</v>
      </c>
      <c r="F20" s="2">
        <v>-1071.5173824709614</v>
      </c>
      <c r="G20" s="2">
        <v>413.44188824528914</v>
      </c>
      <c r="H20" s="2">
        <v>-1071.5173824709614</v>
      </c>
      <c r="I20" s="2">
        <v>413.44188824528914</v>
      </c>
    </row>
    <row r="21" spans="1:9" x14ac:dyDescent="0.25">
      <c r="A21" s="2" t="s">
        <v>32</v>
      </c>
      <c r="B21" s="2">
        <v>2222.7676299726986</v>
      </c>
      <c r="C21" s="2">
        <v>6960.5024454883305</v>
      </c>
      <c r="D21" s="2">
        <v>0.3193401119215834</v>
      </c>
      <c r="E21" s="2">
        <v>0.75878752892589396</v>
      </c>
      <c r="F21" s="2">
        <v>-14236.205255899895</v>
      </c>
      <c r="G21" s="2">
        <v>18681.740515845293</v>
      </c>
      <c r="H21" s="2">
        <v>-14236.205255899895</v>
      </c>
      <c r="I21" s="2">
        <v>18681.740515845293</v>
      </c>
    </row>
    <row r="22" spans="1:9" ht="15.75" thickBot="1" x14ac:dyDescent="0.3">
      <c r="A22" s="5" t="s">
        <v>33</v>
      </c>
      <c r="B22" s="5">
        <v>38831.920345871062</v>
      </c>
      <c r="C22" s="5">
        <v>15309.197825975569</v>
      </c>
      <c r="D22" s="5">
        <v>2.5365091487670108</v>
      </c>
      <c r="E22" s="5">
        <v>3.8861643852959087E-2</v>
      </c>
      <c r="F22" s="5">
        <v>2631.4198941376962</v>
      </c>
      <c r="G22" s="5">
        <v>75032.420797604427</v>
      </c>
      <c r="H22" s="5">
        <v>2631.4198941376962</v>
      </c>
      <c r="I22" s="5">
        <v>75032.420797604427</v>
      </c>
    </row>
    <row r="40" spans="11:13" x14ac:dyDescent="0.25">
      <c r="K40" t="s">
        <v>141</v>
      </c>
      <c r="M40" s="47" t="s">
        <v>139</v>
      </c>
    </row>
    <row r="41" spans="11:13" x14ac:dyDescent="0.25">
      <c r="K41" t="s">
        <v>140</v>
      </c>
      <c r="M41" s="47" t="s">
        <v>142</v>
      </c>
    </row>
  </sheetData>
  <mergeCells count="2">
    <mergeCell ref="B1:K1"/>
    <mergeCell ref="F3:N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showGridLines="0" topLeftCell="A13" workbookViewId="0">
      <selection activeCell="B41" sqref="B41"/>
    </sheetView>
  </sheetViews>
  <sheetFormatPr baseColWidth="10" defaultColWidth="9.140625" defaultRowHeight="15" x14ac:dyDescent="0.25"/>
  <cols>
    <col min="1" max="1" width="25.7109375" customWidth="1"/>
    <col min="2" max="11" width="16" customWidth="1"/>
  </cols>
  <sheetData>
    <row r="1" spans="1:15" x14ac:dyDescent="0.25">
      <c r="A1" t="s">
        <v>59</v>
      </c>
    </row>
    <row r="2" spans="1:15" x14ac:dyDescent="0.25">
      <c r="I2" s="54" t="s">
        <v>135</v>
      </c>
      <c r="J2" s="54"/>
      <c r="K2" s="54"/>
      <c r="L2" s="54"/>
      <c r="M2" s="54"/>
      <c r="N2" s="54"/>
      <c r="O2" s="54"/>
    </row>
    <row r="3" spans="1:15" ht="21" x14ac:dyDescent="0.35">
      <c r="A3" s="67" t="s">
        <v>60</v>
      </c>
      <c r="B3" s="67"/>
      <c r="C3" s="67"/>
      <c r="D3" s="67"/>
      <c r="E3" s="67"/>
      <c r="F3" s="67"/>
      <c r="I3" s="54"/>
      <c r="J3" s="54"/>
      <c r="K3" s="54"/>
      <c r="L3" s="54"/>
      <c r="M3" s="54"/>
      <c r="N3" s="54"/>
      <c r="O3" s="54"/>
    </row>
    <row r="4" spans="1:15" x14ac:dyDescent="0.25">
      <c r="I4" s="54"/>
      <c r="J4" s="54"/>
      <c r="K4" s="54"/>
      <c r="L4" s="54"/>
      <c r="M4" s="54"/>
      <c r="N4" s="54"/>
      <c r="O4" s="54"/>
    </row>
    <row r="5" spans="1:15" x14ac:dyDescent="0.25">
      <c r="A5">
        <f t="array" ref="A5:F10">MMULT(TRANSPOSE('Cálculos manuales'!C3:H15), 'Cálculos manuales'!C3:H15)</f>
        <v>13</v>
      </c>
      <c r="B5">
        <v>970</v>
      </c>
      <c r="C5">
        <v>296</v>
      </c>
      <c r="D5">
        <v>525</v>
      </c>
      <c r="E5">
        <v>93</v>
      </c>
      <c r="F5">
        <v>3</v>
      </c>
      <c r="I5" s="55" t="s">
        <v>134</v>
      </c>
      <c r="J5" s="55"/>
      <c r="K5" s="55"/>
      <c r="L5" s="55"/>
      <c r="M5" s="55"/>
      <c r="N5" s="55"/>
      <c r="O5" s="55"/>
    </row>
    <row r="6" spans="1:15" x14ac:dyDescent="0.25">
      <c r="A6">
        <v>970</v>
      </c>
      <c r="B6">
        <v>74700</v>
      </c>
      <c r="C6">
        <v>22918</v>
      </c>
      <c r="D6">
        <v>38838</v>
      </c>
      <c r="E6">
        <v>6893</v>
      </c>
      <c r="F6">
        <v>245</v>
      </c>
      <c r="I6" s="55"/>
      <c r="J6" s="55"/>
      <c r="K6" s="55"/>
      <c r="L6" s="55"/>
      <c r="M6" s="55"/>
      <c r="N6" s="55"/>
      <c r="O6" s="55"/>
    </row>
    <row r="7" spans="1:15" ht="15" customHeight="1" x14ac:dyDescent="0.25">
      <c r="A7">
        <v>296</v>
      </c>
      <c r="B7">
        <v>22918</v>
      </c>
      <c r="C7">
        <v>8002</v>
      </c>
      <c r="D7">
        <v>11595</v>
      </c>
      <c r="E7">
        <v>2073</v>
      </c>
      <c r="F7">
        <v>59</v>
      </c>
      <c r="I7" s="55" t="s">
        <v>136</v>
      </c>
      <c r="J7" s="55"/>
      <c r="K7" s="55"/>
      <c r="L7" s="55"/>
      <c r="M7" s="55"/>
      <c r="N7" s="55"/>
      <c r="O7" s="55"/>
    </row>
    <row r="8" spans="1:15" x14ac:dyDescent="0.25">
      <c r="A8">
        <v>525</v>
      </c>
      <c r="B8">
        <v>38838</v>
      </c>
      <c r="C8">
        <v>11595</v>
      </c>
      <c r="D8">
        <v>24897</v>
      </c>
      <c r="E8">
        <v>3711.5</v>
      </c>
      <c r="F8">
        <v>86</v>
      </c>
      <c r="I8" s="55"/>
      <c r="J8" s="55"/>
      <c r="K8" s="55"/>
      <c r="L8" s="55"/>
      <c r="M8" s="55"/>
      <c r="N8" s="55"/>
      <c r="O8" s="55"/>
    </row>
    <row r="9" spans="1:15" x14ac:dyDescent="0.25">
      <c r="A9">
        <v>93</v>
      </c>
      <c r="B9">
        <v>6893</v>
      </c>
      <c r="C9">
        <v>2073</v>
      </c>
      <c r="D9">
        <v>3711.5</v>
      </c>
      <c r="E9">
        <v>675</v>
      </c>
      <c r="F9">
        <v>23.5</v>
      </c>
      <c r="I9" s="55"/>
      <c r="J9" s="55"/>
      <c r="K9" s="55"/>
      <c r="L9" s="55"/>
      <c r="M9" s="55"/>
      <c r="N9" s="55"/>
      <c r="O9" s="55"/>
    </row>
    <row r="10" spans="1:15" x14ac:dyDescent="0.25">
      <c r="A10">
        <v>3</v>
      </c>
      <c r="B10">
        <v>245</v>
      </c>
      <c r="C10">
        <v>59</v>
      </c>
      <c r="D10">
        <v>86</v>
      </c>
      <c r="E10">
        <v>23.5</v>
      </c>
      <c r="F10">
        <v>3</v>
      </c>
    </row>
    <row r="12" spans="1:15" ht="21" x14ac:dyDescent="0.35">
      <c r="A12" s="67" t="s">
        <v>61</v>
      </c>
      <c r="B12" s="67"/>
      <c r="C12" s="67"/>
      <c r="D12" s="67"/>
      <c r="E12" s="67"/>
      <c r="F12" s="67"/>
    </row>
    <row r="13" spans="1:15" x14ac:dyDescent="0.25">
      <c r="A13">
        <f t="array" ref="A13:F18">MINVERSE(A5:F10)</f>
        <v>18.486217016304469</v>
      </c>
      <c r="B13">
        <v>-7.4612101646528872E-2</v>
      </c>
      <c r="C13">
        <v>-2.2047484075440354E-2</v>
      </c>
      <c r="D13">
        <v>-2.4538419769253902E-2</v>
      </c>
      <c r="E13">
        <v>-1.6369895894205675</v>
      </c>
      <c r="F13">
        <v>1.5672249554921036</v>
      </c>
    </row>
    <row r="14" spans="1:15" x14ac:dyDescent="0.25">
      <c r="A14">
        <v>-7.4612101646528775E-2</v>
      </c>
      <c r="B14">
        <v>8.2067965837560603E-4</v>
      </c>
      <c r="C14">
        <v>-5.1159163765973398E-4</v>
      </c>
      <c r="D14">
        <v>-5.9755688510004563E-5</v>
      </c>
      <c r="E14">
        <v>4.2965212881183081E-3</v>
      </c>
      <c r="F14">
        <v>-1.4291855266477551E-2</v>
      </c>
    </row>
    <row r="15" spans="1:15" x14ac:dyDescent="0.25">
      <c r="A15">
        <v>-2.2047484075440361E-2</v>
      </c>
      <c r="B15">
        <v>-5.1159163765973387E-4</v>
      </c>
      <c r="C15">
        <v>1.3636640484062169E-3</v>
      </c>
      <c r="D15">
        <v>2.2421219750979826E-4</v>
      </c>
      <c r="E15">
        <v>2.4426078255918803E-3</v>
      </c>
      <c r="F15">
        <v>1.1447563903245738E-2</v>
      </c>
    </row>
    <row r="16" spans="1:15" x14ac:dyDescent="0.25">
      <c r="A16">
        <v>-2.4538419769253181E-2</v>
      </c>
      <c r="B16">
        <v>-5.975568851000787E-5</v>
      </c>
      <c r="C16">
        <v>2.242121975097982E-4</v>
      </c>
      <c r="D16">
        <v>3.5654051562947767E-4</v>
      </c>
      <c r="E16">
        <v>1.1373740243327283E-3</v>
      </c>
      <c r="F16">
        <v>5.8787031412263907E-3</v>
      </c>
    </row>
    <row r="17" spans="1:7" x14ac:dyDescent="0.25">
      <c r="A17">
        <v>-1.6369895894205728</v>
      </c>
      <c r="B17">
        <v>4.296521288118341E-3</v>
      </c>
      <c r="C17">
        <v>2.4426078255918825E-3</v>
      </c>
      <c r="D17">
        <v>1.1373740243327971E-3</v>
      </c>
      <c r="E17">
        <v>0.17520449940967703</v>
      </c>
      <c r="F17">
        <v>-0.16697090375240914</v>
      </c>
    </row>
    <row r="18" spans="1:7" x14ac:dyDescent="0.25">
      <c r="A18">
        <v>1.5672249554921187</v>
      </c>
      <c r="B18">
        <v>-1.4291855266477633E-2</v>
      </c>
      <c r="C18">
        <v>1.1447563903245736E-2</v>
      </c>
      <c r="D18">
        <v>5.8787031412263031E-3</v>
      </c>
      <c r="E18">
        <v>-0.16697090375240989</v>
      </c>
      <c r="F18">
        <v>0.84755705718511198</v>
      </c>
    </row>
    <row r="20" spans="1:7" ht="21" x14ac:dyDescent="0.25">
      <c r="A20" s="15" t="s">
        <v>62</v>
      </c>
    </row>
    <row r="21" spans="1:7" x14ac:dyDescent="0.25">
      <c r="A21">
        <f t="array" ref="A21:A26">MMULT(TRANSPOSE('Cálculos manuales'!C3:H15), 'Cálculos manuales'!I3:I15)</f>
        <v>2056390</v>
      </c>
    </row>
    <row r="22" spans="1:7" x14ac:dyDescent="0.25">
      <c r="A22">
        <v>155798860</v>
      </c>
    </row>
    <row r="23" spans="1:7" x14ac:dyDescent="0.25">
      <c r="A23">
        <v>47154640</v>
      </c>
    </row>
    <row r="24" spans="1:7" x14ac:dyDescent="0.25">
      <c r="A24">
        <v>80115050</v>
      </c>
    </row>
    <row r="25" spans="1:7" x14ac:dyDescent="0.25">
      <c r="A25">
        <v>14792225</v>
      </c>
    </row>
    <row r="26" spans="1:7" x14ac:dyDescent="0.25">
      <c r="A26">
        <v>592000</v>
      </c>
    </row>
    <row r="28" spans="1:7" ht="21" x14ac:dyDescent="0.35">
      <c r="A28" s="67" t="s">
        <v>63</v>
      </c>
      <c r="B28" s="67"/>
      <c r="C28" s="67"/>
      <c r="D28" s="67"/>
      <c r="E28" s="67"/>
      <c r="F28" s="67"/>
      <c r="G28" s="67"/>
    </row>
    <row r="29" spans="1:7" x14ac:dyDescent="0.25">
      <c r="A29">
        <f t="array" ref="A29:A34">MMULT(A13:F18, A21:A26)</f>
        <v>97932.374491809634</v>
      </c>
      <c r="B29">
        <f t="array" ref="B29:G29">TRANSPOSE(A29:A34)</f>
        <v>97932.374491809634</v>
      </c>
      <c r="C29">
        <v>612.45731496605731</v>
      </c>
      <c r="D29">
        <v>130.80136046800999</v>
      </c>
      <c r="E29">
        <v>-329.03774711284314</v>
      </c>
      <c r="F29">
        <v>2222.7676299719024</v>
      </c>
      <c r="G29">
        <v>38831.920345871069</v>
      </c>
    </row>
    <row r="30" spans="1:7" x14ac:dyDescent="0.25">
      <c r="A30">
        <v>612.45731496605731</v>
      </c>
      <c r="B30">
        <f>B29</f>
        <v>97932.374491809634</v>
      </c>
      <c r="C30">
        <f t="shared" ref="C30:G30" si="0">C29</f>
        <v>612.45731496605731</v>
      </c>
      <c r="D30">
        <f t="shared" si="0"/>
        <v>130.80136046800999</v>
      </c>
      <c r="E30">
        <f t="shared" si="0"/>
        <v>-329.03774711284314</v>
      </c>
      <c r="F30">
        <f t="shared" si="0"/>
        <v>2222.7676299719024</v>
      </c>
      <c r="G30">
        <f t="shared" si="0"/>
        <v>38831.920345871069</v>
      </c>
    </row>
    <row r="31" spans="1:7" x14ac:dyDescent="0.25">
      <c r="A31">
        <v>130.80136046800999</v>
      </c>
    </row>
    <row r="32" spans="1:7" x14ac:dyDescent="0.25">
      <c r="A32">
        <v>-329.03774711284314</v>
      </c>
    </row>
    <row r="33" spans="1:5" x14ac:dyDescent="0.25">
      <c r="A33">
        <v>2222.7676299719024</v>
      </c>
    </row>
    <row r="34" spans="1:5" x14ac:dyDescent="0.25">
      <c r="A34">
        <v>38831.920345871069</v>
      </c>
    </row>
    <row r="36" spans="1:5" x14ac:dyDescent="0.25">
      <c r="A36" t="s">
        <v>69</v>
      </c>
      <c r="B36">
        <f t="array" ref="B36">SUMXMY2('Cálculos manuales'!I3:I15, 'Cálculos manuales'!K3:K15)</f>
        <v>1935681795.8341565</v>
      </c>
    </row>
    <row r="37" spans="1:5" x14ac:dyDescent="0.25">
      <c r="A37" t="s">
        <v>70</v>
      </c>
      <c r="B37">
        <f t="array" ref="B37">SUMPRODUCT(( 'Cálculos manuales'!I3:I15 - AVERAGE('Cálculos manuales'!I3:I15) )^2)</f>
        <v>9130500707.6923065</v>
      </c>
      <c r="E37" s="16"/>
    </row>
    <row r="38" spans="1:5" x14ac:dyDescent="0.25">
      <c r="A38" t="s">
        <v>71</v>
      </c>
      <c r="B38">
        <v>13</v>
      </c>
      <c r="C38" t="s">
        <v>72</v>
      </c>
      <c r="E38" s="16"/>
    </row>
    <row r="39" spans="1:5" x14ac:dyDescent="0.25">
      <c r="A39" t="s">
        <v>73</v>
      </c>
      <c r="B39">
        <v>6</v>
      </c>
      <c r="C39" t="s">
        <v>74</v>
      </c>
      <c r="E39" s="16"/>
    </row>
    <row r="40" spans="1:5" x14ac:dyDescent="0.25">
      <c r="A40" t="s">
        <v>75</v>
      </c>
      <c r="B40" s="50">
        <f>1 - B36/B37</f>
        <v>0.78799828642438263</v>
      </c>
    </row>
    <row r="41" spans="1:5" x14ac:dyDescent="0.25">
      <c r="A41" t="s">
        <v>76</v>
      </c>
      <c r="B41" s="50">
        <f>1 - (B36/(B38-B39)) / (B37/(B38-1))</f>
        <v>0.63656849101322732</v>
      </c>
    </row>
    <row r="42" spans="1:5" x14ac:dyDescent="0.25">
      <c r="A42" t="s">
        <v>77</v>
      </c>
      <c r="B42" s="17">
        <f>SQRT((B36/(B38-B39)))</f>
        <v>16629.070053176481</v>
      </c>
      <c r="C42" s="18" t="s">
        <v>78</v>
      </c>
    </row>
    <row r="44" spans="1:5" ht="21" x14ac:dyDescent="0.25">
      <c r="A44" s="19" t="s">
        <v>79</v>
      </c>
      <c r="B44" s="20">
        <f>SUMPRODUCT(A29:A34, CHOOSE({1;2;3;4;5;6}, 1, 'Cálculos manuales'!C65, 'Cálculos manuales'!D65, 'Cálculos manuales'!E65, 'Cálculos manuales'!F65, 'Cálculos manuales'!G65))</f>
        <v>179312.48335113589</v>
      </c>
      <c r="C44" t="s">
        <v>80</v>
      </c>
    </row>
    <row r="45" spans="1:5" x14ac:dyDescent="0.25">
      <c r="B45" t="s">
        <v>81</v>
      </c>
    </row>
  </sheetData>
  <mergeCells count="6">
    <mergeCell ref="A3:F3"/>
    <mergeCell ref="A12:F12"/>
    <mergeCell ref="A28:G28"/>
    <mergeCell ref="I2:O4"/>
    <mergeCell ref="I7:O9"/>
    <mergeCell ref="I5:O6"/>
  </mergeCells>
  <pageMargins left="0.75" right="0.75" top="1" bottom="1" header="0.5" footer="0.5"/>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6"/>
  <sheetViews>
    <sheetView showGridLines="0" topLeftCell="A43" workbookViewId="0">
      <selection activeCell="G71" sqref="G71"/>
    </sheetView>
  </sheetViews>
  <sheetFormatPr baseColWidth="10" defaultColWidth="9.140625" defaultRowHeight="15" x14ac:dyDescent="0.25"/>
  <cols>
    <col min="1" max="1" width="9.140625" style="23"/>
    <col min="2" max="2" width="22.7109375" style="23" customWidth="1"/>
    <col min="3" max="3" width="16" style="23" customWidth="1"/>
    <col min="4" max="4" width="18.140625" style="23" customWidth="1"/>
    <col min="5" max="11" width="16" style="23" customWidth="1"/>
    <col min="12" max="12" width="12.85546875" style="23" customWidth="1"/>
    <col min="13" max="14" width="13.42578125" style="23" customWidth="1"/>
    <col min="15" max="16" width="11.85546875" style="23" bestFit="1" customWidth="1"/>
    <col min="17" max="16384" width="9.140625" style="23"/>
  </cols>
  <sheetData>
    <row r="1" spans="2:29" ht="26.25" customHeight="1" x14ac:dyDescent="0.25">
      <c r="C1" s="23" t="s">
        <v>87</v>
      </c>
      <c r="K1" s="69" t="s">
        <v>88</v>
      </c>
      <c r="L1" s="69"/>
      <c r="M1" s="69"/>
      <c r="N1" s="69"/>
    </row>
    <row r="2" spans="2:29" s="25" customFormat="1" ht="36.75" customHeight="1" x14ac:dyDescent="0.25">
      <c r="B2" s="24" t="s">
        <v>89</v>
      </c>
      <c r="C2" s="24" t="s">
        <v>90</v>
      </c>
      <c r="D2" s="24" t="s">
        <v>64</v>
      </c>
      <c r="E2" s="24" t="s">
        <v>65</v>
      </c>
      <c r="F2" s="24" t="s">
        <v>66</v>
      </c>
      <c r="G2" s="24" t="s">
        <v>67</v>
      </c>
      <c r="H2" s="24" t="s">
        <v>68</v>
      </c>
      <c r="I2" s="24" t="s">
        <v>91</v>
      </c>
      <c r="K2" s="24" t="s">
        <v>92</v>
      </c>
      <c r="L2" s="24" t="s">
        <v>93</v>
      </c>
      <c r="M2" s="24" t="s">
        <v>94</v>
      </c>
      <c r="N2" s="24" t="s">
        <v>95</v>
      </c>
    </row>
    <row r="3" spans="2:29" ht="18" customHeight="1" x14ac:dyDescent="0.25">
      <c r="B3" s="26" t="s">
        <v>44</v>
      </c>
      <c r="C3" s="27">
        <v>1</v>
      </c>
      <c r="D3" s="27">
        <f>Propiedad!C5</f>
        <v>110</v>
      </c>
      <c r="E3" s="27">
        <f>Propiedad!D5</f>
        <v>36</v>
      </c>
      <c r="F3" s="27">
        <f>Propiedad!E5</f>
        <v>45</v>
      </c>
      <c r="G3" s="27">
        <f>Propiedad!F5</f>
        <v>5</v>
      </c>
      <c r="H3" s="27">
        <f>Propiedad!G5</f>
        <v>0</v>
      </c>
      <c r="I3" s="28">
        <f>Propiedad!H5</f>
        <v>160000</v>
      </c>
      <c r="K3" s="29">
        <f xml:space="preserve"> SUMPRODUCT('Cálculos con fórmulas de excel'!$B$30:$G$30,C3:H3)</f>
        <v>166318.66764470586</v>
      </c>
      <c r="L3" s="29">
        <f>I3 - K3</f>
        <v>-6318.6676447058562</v>
      </c>
      <c r="M3" s="30">
        <f t="shared" ref="M3:M14" si="0">(I3/K3)-1</f>
        <v>-3.7991331545560225E-2</v>
      </c>
      <c r="N3" s="30">
        <f t="shared" ref="N3:N15" si="1">LN(I3/K3)</f>
        <v>-3.8731817489627174E-2</v>
      </c>
    </row>
    <row r="4" spans="2:29" ht="18" customHeight="1" x14ac:dyDescent="0.25">
      <c r="B4" s="26" t="s">
        <v>45</v>
      </c>
      <c r="C4" s="27">
        <v>1</v>
      </c>
      <c r="D4" s="27">
        <f>Propiedad!C6</f>
        <v>69</v>
      </c>
      <c r="E4" s="27">
        <f>Propiedad!D6</f>
        <v>10</v>
      </c>
      <c r="F4" s="27">
        <f>Propiedad!E6</f>
        <v>40</v>
      </c>
      <c r="G4" s="27">
        <f>Propiedad!F6</f>
        <v>7</v>
      </c>
      <c r="H4" s="27">
        <f>Propiedad!G6</f>
        <v>0</v>
      </c>
      <c r="I4" s="28">
        <f>Propiedad!H6</f>
        <v>155000</v>
      </c>
      <c r="K4" s="29">
        <f xml:space="preserve"> SUMPRODUCT('Cálculos con fórmulas de excel'!$B$30:$G$30,C4:H4)</f>
        <v>143897.80635443731</v>
      </c>
      <c r="L4" s="29">
        <f t="shared" ref="L4:L15" si="2">I4 - K4</f>
        <v>11102.193645562686</v>
      </c>
      <c r="M4" s="30">
        <f t="shared" si="0"/>
        <v>7.7153321004884923E-2</v>
      </c>
      <c r="N4" s="30">
        <f t="shared" si="1"/>
        <v>7.4321747378134823E-2</v>
      </c>
    </row>
    <row r="5" spans="2:29" ht="18" customHeight="1" x14ac:dyDescent="0.25">
      <c r="B5" s="26" t="s">
        <v>46</v>
      </c>
      <c r="C5" s="27">
        <v>1</v>
      </c>
      <c r="D5" s="27">
        <f>Propiedad!C7</f>
        <v>70</v>
      </c>
      <c r="E5" s="27">
        <f>Propiedad!D7</f>
        <v>20</v>
      </c>
      <c r="F5" s="27">
        <f>Propiedad!E7</f>
        <v>55</v>
      </c>
      <c r="G5" s="27">
        <f>Propiedad!F7</f>
        <v>8</v>
      </c>
      <c r="H5" s="27">
        <f>Propiedad!G7</f>
        <v>0</v>
      </c>
      <c r="I5" s="28">
        <f>Propiedad!H7</f>
        <v>125000</v>
      </c>
      <c r="K5" s="29">
        <f xml:space="preserve"> SUMPRODUCT('Cálculos con fórmulas de excel'!$B$30:$G$30,C5:H5)</f>
        <v>143105.47869736271</v>
      </c>
      <c r="L5" s="29">
        <f t="shared" si="2"/>
        <v>-18105.478697362705</v>
      </c>
      <c r="M5" s="30">
        <f t="shared" si="0"/>
        <v>-0.1265184174789834</v>
      </c>
      <c r="N5" s="30">
        <f t="shared" si="1"/>
        <v>-0.13526823432290797</v>
      </c>
    </row>
    <row r="6" spans="2:29" ht="18" customHeight="1" x14ac:dyDescent="0.25">
      <c r="B6" s="26" t="s">
        <v>47</v>
      </c>
      <c r="C6" s="27">
        <v>1</v>
      </c>
      <c r="D6" s="27">
        <f>Propiedad!C8</f>
        <v>67</v>
      </c>
      <c r="E6" s="27">
        <f>Propiedad!D8</f>
        <v>30</v>
      </c>
      <c r="F6" s="27">
        <f>Propiedad!E8</f>
        <v>44</v>
      </c>
      <c r="G6" s="27">
        <f>Propiedad!F8</f>
        <v>6.5</v>
      </c>
      <c r="H6" s="27">
        <f>Propiedad!G8</f>
        <v>0</v>
      </c>
      <c r="I6" s="28">
        <f>Propiedad!H8</f>
        <v>147000</v>
      </c>
      <c r="K6" s="29">
        <f xml:space="preserve"> SUMPRODUCT('Cálculos con fórmulas de excel'!$B$30:$G$30,C6:H6)</f>
        <v>142861.38413042802</v>
      </c>
      <c r="L6" s="29">
        <f t="shared" si="2"/>
        <v>4138.6158695719787</v>
      </c>
      <c r="M6" s="30">
        <f t="shared" si="0"/>
        <v>2.8969451015493197E-2</v>
      </c>
      <c r="N6" s="30">
        <f t="shared" si="1"/>
        <v>2.8557768379623549E-2</v>
      </c>
      <c r="Q6" s="31">
        <f t="array" ref="Q6:AC11">TRANSPOSE(C3:H15)</f>
        <v>1</v>
      </c>
      <c r="R6" s="31">
        <v>1</v>
      </c>
      <c r="S6" s="31">
        <v>1</v>
      </c>
      <c r="T6" s="31">
        <v>1</v>
      </c>
      <c r="U6" s="31">
        <v>1</v>
      </c>
      <c r="V6" s="31">
        <v>1</v>
      </c>
      <c r="W6" s="31">
        <v>1</v>
      </c>
      <c r="X6" s="31">
        <v>1</v>
      </c>
      <c r="Y6" s="31">
        <v>1</v>
      </c>
      <c r="Z6" s="31">
        <v>1</v>
      </c>
      <c r="AA6" s="31">
        <v>1</v>
      </c>
      <c r="AB6" s="31">
        <v>1</v>
      </c>
      <c r="AC6" s="31">
        <v>1</v>
      </c>
    </row>
    <row r="7" spans="2:29" ht="18" customHeight="1" x14ac:dyDescent="0.25">
      <c r="B7" s="26" t="s">
        <v>48</v>
      </c>
      <c r="C7" s="27">
        <v>1</v>
      </c>
      <c r="D7" s="27">
        <f>Propiedad!C9</f>
        <v>64</v>
      </c>
      <c r="E7" s="27">
        <f>Propiedad!D9</f>
        <v>12</v>
      </c>
      <c r="F7" s="27">
        <f>Propiedad!E9</f>
        <v>55</v>
      </c>
      <c r="G7" s="27">
        <f>Propiedad!F9</f>
        <v>7</v>
      </c>
      <c r="H7" s="27">
        <f>Propiedad!G9</f>
        <v>0</v>
      </c>
      <c r="I7" s="28">
        <f>Propiedad!H9</f>
        <v>127500</v>
      </c>
      <c r="K7" s="29">
        <f xml:space="preserve"> SUMPRODUCT('Cálculos con fórmulas de excel'!$B$30:$G$30,C7:H7)</f>
        <v>136161.55629385036</v>
      </c>
      <c r="L7" s="29">
        <f t="shared" si="2"/>
        <v>-8661.5562938503572</v>
      </c>
      <c r="M7" s="30">
        <f t="shared" si="0"/>
        <v>-6.3612347931436997E-2</v>
      </c>
      <c r="N7" s="30">
        <f t="shared" si="1"/>
        <v>-6.5725730051467771E-2</v>
      </c>
      <c r="Q7" s="31">
        <v>110</v>
      </c>
      <c r="R7" s="31">
        <v>69</v>
      </c>
      <c r="S7" s="31">
        <v>70</v>
      </c>
      <c r="T7" s="31">
        <v>67</v>
      </c>
      <c r="U7" s="31">
        <v>64</v>
      </c>
      <c r="V7" s="31">
        <v>64</v>
      </c>
      <c r="W7" s="31">
        <v>60</v>
      </c>
      <c r="X7" s="31">
        <v>84</v>
      </c>
      <c r="Y7" s="31">
        <v>63</v>
      </c>
      <c r="Z7" s="31">
        <v>74</v>
      </c>
      <c r="AA7" s="31">
        <v>74</v>
      </c>
      <c r="AB7" s="31">
        <v>91</v>
      </c>
      <c r="AC7" s="31">
        <v>80</v>
      </c>
    </row>
    <row r="8" spans="2:29" ht="18" customHeight="1" x14ac:dyDescent="0.25">
      <c r="B8" s="26" t="s">
        <v>49</v>
      </c>
      <c r="C8" s="27">
        <v>1</v>
      </c>
      <c r="D8" s="27">
        <f>Propiedad!C10</f>
        <v>64</v>
      </c>
      <c r="E8" s="27">
        <f>Propiedad!D10</f>
        <v>20</v>
      </c>
      <c r="F8" s="27">
        <f>Propiedad!E10</f>
        <v>50</v>
      </c>
      <c r="G8" s="27">
        <f>Propiedad!F10</f>
        <v>7</v>
      </c>
      <c r="H8" s="27">
        <f>Propiedad!G10</f>
        <v>0</v>
      </c>
      <c r="I8" s="28">
        <f>Propiedad!H10</f>
        <v>120900</v>
      </c>
      <c r="K8" s="29">
        <f xml:space="preserve"> SUMPRODUCT('Cálculos con fórmulas de excel'!$B$30:$G$30,C8:H8)</f>
        <v>138853.15591315867</v>
      </c>
      <c r="L8" s="29">
        <f t="shared" si="2"/>
        <v>-17953.155913158669</v>
      </c>
      <c r="M8" s="30">
        <f t="shared" si="0"/>
        <v>-0.12929598751350602</v>
      </c>
      <c r="N8" s="30">
        <f t="shared" si="1"/>
        <v>-0.13845318481260843</v>
      </c>
      <c r="Q8" s="31">
        <v>36</v>
      </c>
      <c r="R8" s="31">
        <v>10</v>
      </c>
      <c r="S8" s="31">
        <v>20</v>
      </c>
      <c r="T8" s="31">
        <v>30</v>
      </c>
      <c r="U8" s="31">
        <v>12</v>
      </c>
      <c r="V8" s="31">
        <v>20</v>
      </c>
      <c r="W8" s="31">
        <v>14</v>
      </c>
      <c r="X8" s="31">
        <v>41</v>
      </c>
      <c r="Y8" s="31">
        <v>18</v>
      </c>
      <c r="Z8" s="31">
        <v>36</v>
      </c>
      <c r="AA8" s="31">
        <v>28</v>
      </c>
      <c r="AB8" s="31">
        <v>16</v>
      </c>
      <c r="AC8" s="31">
        <v>15</v>
      </c>
    </row>
    <row r="9" spans="2:29" ht="18" customHeight="1" x14ac:dyDescent="0.25">
      <c r="B9" s="26" t="s">
        <v>50</v>
      </c>
      <c r="C9" s="27">
        <v>1</v>
      </c>
      <c r="D9" s="27">
        <f>Propiedad!C11</f>
        <v>60</v>
      </c>
      <c r="E9" s="27">
        <f>Propiedad!D11</f>
        <v>14</v>
      </c>
      <c r="F9" s="27">
        <f>Propiedad!E11</f>
        <v>65</v>
      </c>
      <c r="G9" s="27">
        <f>Propiedad!F11</f>
        <v>6.5</v>
      </c>
      <c r="H9" s="27">
        <f>Propiedad!G11</f>
        <v>0</v>
      </c>
      <c r="I9" s="28">
        <f>Propiedad!H11</f>
        <v>146000</v>
      </c>
      <c r="K9" s="29">
        <f xml:space="preserve"> SUMPRODUCT('Cálculos con fórmulas de excel'!$B$30:$G$30,C9:H9)</f>
        <v>129571.56846880777</v>
      </c>
      <c r="L9" s="29">
        <f t="shared" si="2"/>
        <v>16428.431531192226</v>
      </c>
      <c r="M9" s="30">
        <f t="shared" si="0"/>
        <v>0.12679040413983333</v>
      </c>
      <c r="N9" s="30">
        <f t="shared" si="1"/>
        <v>0.11937324095598197</v>
      </c>
      <c r="Q9" s="31">
        <v>45</v>
      </c>
      <c r="R9" s="31">
        <v>40</v>
      </c>
      <c r="S9" s="31">
        <v>55</v>
      </c>
      <c r="T9" s="31">
        <v>44</v>
      </c>
      <c r="U9" s="31">
        <v>55</v>
      </c>
      <c r="V9" s="31">
        <v>50</v>
      </c>
      <c r="W9" s="31">
        <v>65</v>
      </c>
      <c r="X9" s="31">
        <v>25</v>
      </c>
      <c r="Y9" s="31">
        <v>15</v>
      </c>
      <c r="Z9" s="31">
        <v>45</v>
      </c>
      <c r="AA9" s="31">
        <v>25</v>
      </c>
      <c r="AB9" s="31">
        <v>55</v>
      </c>
      <c r="AC9" s="31">
        <v>6</v>
      </c>
    </row>
    <row r="10" spans="2:29" ht="18" customHeight="1" x14ac:dyDescent="0.25">
      <c r="B10" s="26" t="s">
        <v>51</v>
      </c>
      <c r="C10" s="27">
        <v>1</v>
      </c>
      <c r="D10" s="27">
        <f>Propiedad!C12</f>
        <v>84</v>
      </c>
      <c r="E10" s="27">
        <f>Propiedad!D12</f>
        <v>41</v>
      </c>
      <c r="F10" s="27">
        <f>Propiedad!E12</f>
        <v>25</v>
      </c>
      <c r="G10" s="27">
        <f>Propiedad!F12</f>
        <v>7</v>
      </c>
      <c r="H10" s="27">
        <f>Propiedad!G12</f>
        <v>0</v>
      </c>
      <c r="I10" s="28">
        <f>Propiedad!H12</f>
        <v>177000</v>
      </c>
      <c r="K10" s="29">
        <f xml:space="preserve"> SUMPRODUCT('Cálculos con fórmulas de excel'!$B$30:$G$30,C10:H10)</f>
        <v>162075.07446012911</v>
      </c>
      <c r="L10" s="29">
        <f t="shared" si="2"/>
        <v>14924.925539870892</v>
      </c>
      <c r="M10" s="30">
        <f t="shared" si="0"/>
        <v>9.2086495036856952E-2</v>
      </c>
      <c r="N10" s="30">
        <f t="shared" si="1"/>
        <v>8.8090082095142158E-2</v>
      </c>
      <c r="Q10" s="31">
        <v>5</v>
      </c>
      <c r="R10" s="31">
        <v>7</v>
      </c>
      <c r="S10" s="31">
        <v>8</v>
      </c>
      <c r="T10" s="31">
        <v>6.5</v>
      </c>
      <c r="U10" s="31">
        <v>7</v>
      </c>
      <c r="V10" s="31">
        <v>7</v>
      </c>
      <c r="W10" s="31">
        <v>6.5</v>
      </c>
      <c r="X10" s="31">
        <v>7</v>
      </c>
      <c r="Y10" s="31">
        <v>8</v>
      </c>
      <c r="Z10" s="31">
        <v>7.5</v>
      </c>
      <c r="AA10" s="31">
        <v>7</v>
      </c>
      <c r="AB10" s="31">
        <v>8.5</v>
      </c>
      <c r="AC10" s="31">
        <v>8</v>
      </c>
    </row>
    <row r="11" spans="2:29" ht="18" customHeight="1" x14ac:dyDescent="0.25">
      <c r="B11" s="26" t="s">
        <v>52</v>
      </c>
      <c r="C11" s="27">
        <v>1</v>
      </c>
      <c r="D11" s="27">
        <f>Propiedad!C13</f>
        <v>63</v>
      </c>
      <c r="E11" s="27">
        <f>Propiedad!D13</f>
        <v>18</v>
      </c>
      <c r="F11" s="27">
        <f>Propiedad!E13</f>
        <v>15</v>
      </c>
      <c r="G11" s="27">
        <f>Propiedad!F13</f>
        <v>8</v>
      </c>
      <c r="H11" s="27">
        <f>Propiedad!G13</f>
        <v>0</v>
      </c>
      <c r="I11" s="28">
        <f>Propiedad!H13</f>
        <v>162000</v>
      </c>
      <c r="K11" s="29">
        <f xml:space="preserve"> SUMPRODUCT('Cálculos con fórmulas de excel'!$B$30:$G$30,C11:H11)</f>
        <v>151718.18465617797</v>
      </c>
      <c r="L11" s="29">
        <f t="shared" si="2"/>
        <v>10281.815343822032</v>
      </c>
      <c r="M11" s="30">
        <f t="shared" si="0"/>
        <v>6.776916931297694E-2</v>
      </c>
      <c r="N11" s="30">
        <f t="shared" si="1"/>
        <v>6.5571583575688597E-2</v>
      </c>
      <c r="Q11" s="31">
        <v>0</v>
      </c>
      <c r="R11" s="31">
        <v>0</v>
      </c>
      <c r="S11" s="31">
        <v>0</v>
      </c>
      <c r="T11" s="31">
        <v>0</v>
      </c>
      <c r="U11" s="31">
        <v>0</v>
      </c>
      <c r="V11" s="31">
        <v>0</v>
      </c>
      <c r="W11" s="31">
        <v>0</v>
      </c>
      <c r="X11" s="31">
        <v>0</v>
      </c>
      <c r="Y11" s="31">
        <v>0</v>
      </c>
      <c r="Z11" s="31">
        <v>0</v>
      </c>
      <c r="AA11" s="31">
        <v>1</v>
      </c>
      <c r="AB11" s="31">
        <v>1</v>
      </c>
      <c r="AC11" s="31">
        <v>1</v>
      </c>
    </row>
    <row r="12" spans="2:29" ht="18" customHeight="1" x14ac:dyDescent="0.25">
      <c r="B12" s="26" t="s">
        <v>53</v>
      </c>
      <c r="C12" s="27">
        <v>1</v>
      </c>
      <c r="D12" s="27">
        <f>Propiedad!C14</f>
        <v>74</v>
      </c>
      <c r="E12" s="27">
        <f>Propiedad!D14</f>
        <v>36</v>
      </c>
      <c r="F12" s="27">
        <f>Propiedad!E14</f>
        <v>45</v>
      </c>
      <c r="G12" s="27">
        <f>Propiedad!F14</f>
        <v>7.5</v>
      </c>
      <c r="H12" s="27">
        <f>Propiedad!G14</f>
        <v>0</v>
      </c>
      <c r="I12" s="28">
        <f>Propiedad!H14</f>
        <v>143990</v>
      </c>
      <c r="K12" s="29">
        <f xml:space="preserve"> SUMPRODUCT('Cálculos con fórmulas de excel'!$B$30:$G$30,C12:H12)</f>
        <v>149827.12338085755</v>
      </c>
      <c r="L12" s="29">
        <f t="shared" si="2"/>
        <v>-5837.1233808575489</v>
      </c>
      <c r="M12" s="30">
        <f t="shared" si="0"/>
        <v>-3.8959056605656794E-2</v>
      </c>
      <c r="N12" s="30">
        <f t="shared" si="1"/>
        <v>-3.9738265930500602E-2</v>
      </c>
    </row>
    <row r="13" spans="2:29" ht="18" customHeight="1" x14ac:dyDescent="0.25">
      <c r="B13" s="26" t="s">
        <v>54</v>
      </c>
      <c r="C13" s="27">
        <v>1</v>
      </c>
      <c r="D13" s="27">
        <f>Propiedad!C15</f>
        <v>74</v>
      </c>
      <c r="E13" s="27">
        <f>Propiedad!D15</f>
        <v>28</v>
      </c>
      <c r="F13" s="27">
        <f>Propiedad!E15</f>
        <v>25</v>
      </c>
      <c r="G13" s="27">
        <f>Propiedad!F15</f>
        <v>7</v>
      </c>
      <c r="H13" s="27">
        <f>Propiedad!G15</f>
        <v>1</v>
      </c>
      <c r="I13" s="28">
        <f>Propiedad!H15</f>
        <v>192000</v>
      </c>
      <c r="K13" s="29">
        <f xml:space="preserve"> SUMPRODUCT('Cálculos con fórmulas de excel'!$B$30:$G$30,C13:H13)</f>
        <v>193082.00397025546</v>
      </c>
      <c r="L13" s="29">
        <f t="shared" si="2"/>
        <v>-1082.0039702554641</v>
      </c>
      <c r="M13" s="30">
        <f t="shared" si="0"/>
        <v>-5.6038571591692232E-3</v>
      </c>
      <c r="N13" s="30">
        <f t="shared" si="1"/>
        <v>-5.6196176740608492E-3</v>
      </c>
    </row>
    <row r="14" spans="2:29" ht="18" customHeight="1" x14ac:dyDescent="0.25">
      <c r="B14" s="26" t="s">
        <v>55</v>
      </c>
      <c r="C14" s="27">
        <v>1</v>
      </c>
      <c r="D14" s="27">
        <f>Propiedad!C16</f>
        <v>91</v>
      </c>
      <c r="E14" s="27">
        <f>Propiedad!D16</f>
        <v>16</v>
      </c>
      <c r="F14" s="27">
        <f>Propiedad!E16</f>
        <v>55</v>
      </c>
      <c r="G14" s="27">
        <f>Propiedad!F16</f>
        <v>8.5</v>
      </c>
      <c r="H14" s="27">
        <f>Propiedad!G16</f>
        <v>1</v>
      </c>
      <c r="I14" s="28">
        <f>Propiedad!H16</f>
        <v>210000</v>
      </c>
      <c r="K14" s="29">
        <f xml:space="preserve"> SUMPRODUCT('Cálculos con fórmulas de excel'!$B$30:$G$30,C14:H14)</f>
        <v>195387.18103063485</v>
      </c>
      <c r="L14" s="29">
        <f t="shared" si="2"/>
        <v>14612.818969365151</v>
      </c>
      <c r="M14" s="30">
        <f t="shared" si="0"/>
        <v>7.4789036272927323E-2</v>
      </c>
      <c r="N14" s="30">
        <f>LN(I14/K14)</f>
        <v>7.212439699348272E-2</v>
      </c>
    </row>
    <row r="15" spans="2:29" ht="18" customHeight="1" x14ac:dyDescent="0.25">
      <c r="B15" s="26" t="s">
        <v>56</v>
      </c>
      <c r="C15" s="27">
        <v>1</v>
      </c>
      <c r="D15" s="27">
        <f>Propiedad!C17</f>
        <v>80</v>
      </c>
      <c r="E15" s="27">
        <f>Propiedad!D17</f>
        <v>15</v>
      </c>
      <c r="F15" s="27">
        <f>Propiedad!E17</f>
        <v>6</v>
      </c>
      <c r="G15" s="27">
        <f>Propiedad!F17</f>
        <v>8</v>
      </c>
      <c r="H15" s="27">
        <f>Propiedad!G17</f>
        <v>1</v>
      </c>
      <c r="I15" s="28">
        <f>Propiedad!H17</f>
        <v>190000</v>
      </c>
      <c r="K15" s="29">
        <f xml:space="preserve"> SUMPRODUCT('Cálculos con fórmulas de excel'!$B$30:$G$30,C15:H15)</f>
        <v>203530.81499908358</v>
      </c>
      <c r="L15" s="29">
        <f t="shared" si="2"/>
        <v>-13530.814999083581</v>
      </c>
      <c r="M15" s="30">
        <f>(I15/K15)-1</f>
        <v>-6.6480424593909793E-2</v>
      </c>
      <c r="N15" s="30">
        <f t="shared" si="1"/>
        <v>-6.8793346315468615E-2</v>
      </c>
    </row>
    <row r="16" spans="2:29" x14ac:dyDescent="0.25">
      <c r="L16" s="32">
        <f>SUM(L3:L15)</f>
        <v>1.1078373063355684E-7</v>
      </c>
      <c r="M16" s="48">
        <f>SUM(M3:M15)</f>
        <v>-9.0354604524978122E-4</v>
      </c>
      <c r="N16" s="48">
        <f>SUM(N3:N15)</f>
        <v>-4.4291377218587634E-2</v>
      </c>
    </row>
    <row r="17" spans="1:23" ht="21" x14ac:dyDescent="0.25">
      <c r="B17" s="68" t="s">
        <v>60</v>
      </c>
      <c r="C17" s="68"/>
      <c r="D17" s="68"/>
      <c r="E17" s="68"/>
      <c r="F17" s="68"/>
      <c r="G17" s="68"/>
    </row>
    <row r="18" spans="1:23" s="25" customFormat="1" x14ac:dyDescent="0.25"/>
    <row r="19" spans="1:23" s="25" customFormat="1" ht="24.75" customHeight="1" x14ac:dyDescent="0.25">
      <c r="B19" s="33" t="s">
        <v>96</v>
      </c>
      <c r="C19" s="24">
        <v>1</v>
      </c>
      <c r="D19" s="24">
        <v>2</v>
      </c>
      <c r="E19" s="24">
        <v>3</v>
      </c>
      <c r="F19" s="24">
        <v>4</v>
      </c>
      <c r="G19" s="24">
        <v>5</v>
      </c>
      <c r="H19" s="24">
        <v>6</v>
      </c>
      <c r="I19" s="34"/>
      <c r="J19" s="34"/>
    </row>
    <row r="20" spans="1:23" s="25" customFormat="1" ht="18" customHeight="1" x14ac:dyDescent="0.25">
      <c r="B20" s="24">
        <v>1</v>
      </c>
      <c r="C20" s="21">
        <f>SUMPRODUCT($C$3:$C$15,C$3:C$15)</f>
        <v>13</v>
      </c>
      <c r="D20" s="21">
        <f>SUMPRODUCT($C$3:$C$15,D$3:D$15)</f>
        <v>970</v>
      </c>
      <c r="E20" s="21">
        <f>SUMPRODUCT($C$3:$C$15,E$3:E$15)</f>
        <v>296</v>
      </c>
      <c r="F20" s="21">
        <f t="shared" ref="F20:H20" si="3">SUMPRODUCT($C$3:$C$15,F$3:F$15)</f>
        <v>525</v>
      </c>
      <c r="G20" s="21">
        <f t="shared" si="3"/>
        <v>93</v>
      </c>
      <c r="H20" s="21">
        <f t="shared" si="3"/>
        <v>3</v>
      </c>
      <c r="I20" s="34"/>
      <c r="J20" s="34"/>
      <c r="K20" s="35">
        <f t="array" ref="K20:P25">MMULT(Q6:AC11, C3:H15)</f>
        <v>13</v>
      </c>
      <c r="L20" s="31">
        <v>970</v>
      </c>
      <c r="M20" s="31">
        <v>296</v>
      </c>
      <c r="N20" s="31">
        <v>525</v>
      </c>
      <c r="O20" s="31">
        <v>93</v>
      </c>
      <c r="P20" s="31">
        <v>3</v>
      </c>
    </row>
    <row r="21" spans="1:23" s="25" customFormat="1" ht="18" customHeight="1" x14ac:dyDescent="0.25">
      <c r="B21" s="24">
        <v>2</v>
      </c>
      <c r="C21" s="21">
        <f t="shared" ref="C21:H21" si="4">SUMPRODUCT($D$3:$D$15,C$3:C$15)</f>
        <v>970</v>
      </c>
      <c r="D21" s="21">
        <f t="shared" si="4"/>
        <v>74700</v>
      </c>
      <c r="E21" s="21">
        <f t="shared" si="4"/>
        <v>22918</v>
      </c>
      <c r="F21" s="21">
        <f t="shared" si="4"/>
        <v>38838</v>
      </c>
      <c r="G21" s="21">
        <f t="shared" si="4"/>
        <v>6893</v>
      </c>
      <c r="H21" s="21">
        <f t="shared" si="4"/>
        <v>245</v>
      </c>
      <c r="I21" s="34"/>
      <c r="J21" s="34"/>
      <c r="K21" s="35">
        <v>970</v>
      </c>
      <c r="L21" s="35">
        <v>74700</v>
      </c>
      <c r="M21" s="35">
        <v>22918</v>
      </c>
      <c r="N21" s="35">
        <v>38838</v>
      </c>
      <c r="O21" s="31">
        <v>6893</v>
      </c>
      <c r="P21" s="31">
        <v>245</v>
      </c>
    </row>
    <row r="22" spans="1:23" s="25" customFormat="1" ht="18" customHeight="1" x14ac:dyDescent="0.25">
      <c r="B22" s="24">
        <v>3</v>
      </c>
      <c r="C22" s="21">
        <f t="shared" ref="C22:H22" si="5">SUMPRODUCT($E$3:$E$15,C$3:C$15)</f>
        <v>296</v>
      </c>
      <c r="D22" s="21">
        <f>SUMPRODUCT($E$3:$E$15,D$3:D$15)</f>
        <v>22918</v>
      </c>
      <c r="E22" s="21">
        <f t="shared" si="5"/>
        <v>8002</v>
      </c>
      <c r="F22" s="21">
        <f>SUMPRODUCT($E$3:$E$15,F$3:F$15)</f>
        <v>11595</v>
      </c>
      <c r="G22" s="21">
        <f t="shared" si="5"/>
        <v>2073</v>
      </c>
      <c r="H22" s="21">
        <f t="shared" si="5"/>
        <v>59</v>
      </c>
      <c r="I22" s="34"/>
      <c r="J22" s="34"/>
      <c r="K22" s="35">
        <v>296</v>
      </c>
      <c r="L22" s="35">
        <v>22918</v>
      </c>
      <c r="M22" s="35">
        <v>8002</v>
      </c>
      <c r="N22" s="35">
        <v>11595</v>
      </c>
      <c r="O22" s="31">
        <v>2073</v>
      </c>
      <c r="P22" s="31">
        <v>59</v>
      </c>
    </row>
    <row r="23" spans="1:23" s="25" customFormat="1" ht="18" customHeight="1" x14ac:dyDescent="0.25">
      <c r="B23" s="24">
        <v>4</v>
      </c>
      <c r="C23" s="21">
        <f t="shared" ref="C23:H23" si="6">SUMPRODUCT($F$3:$F$15,C$3:C$15)</f>
        <v>525</v>
      </c>
      <c r="D23" s="21">
        <f t="shared" si="6"/>
        <v>38838</v>
      </c>
      <c r="E23" s="21">
        <f t="shared" si="6"/>
        <v>11595</v>
      </c>
      <c r="F23" s="21">
        <f t="shared" si="6"/>
        <v>24897</v>
      </c>
      <c r="G23" s="21">
        <f t="shared" si="6"/>
        <v>3711.5</v>
      </c>
      <c r="H23" s="21">
        <f t="shared" si="6"/>
        <v>86</v>
      </c>
      <c r="I23" s="34"/>
      <c r="J23" s="34"/>
      <c r="K23" s="35">
        <v>525</v>
      </c>
      <c r="L23" s="35">
        <v>38838</v>
      </c>
      <c r="M23" s="35">
        <v>11595</v>
      </c>
      <c r="N23" s="35">
        <v>24897</v>
      </c>
      <c r="O23" s="31">
        <v>3711.5</v>
      </c>
      <c r="P23" s="31">
        <v>86</v>
      </c>
    </row>
    <row r="24" spans="1:23" s="25" customFormat="1" ht="18" customHeight="1" x14ac:dyDescent="0.25">
      <c r="B24" s="24">
        <v>5</v>
      </c>
      <c r="C24" s="21">
        <f t="shared" ref="C24:H24" si="7">SUMPRODUCT($G$3:$G$15,C$3:C$15)</f>
        <v>93</v>
      </c>
      <c r="D24" s="21">
        <f t="shared" si="7"/>
        <v>6893</v>
      </c>
      <c r="E24" s="21">
        <f t="shared" si="7"/>
        <v>2073</v>
      </c>
      <c r="F24" s="21">
        <f t="shared" si="7"/>
        <v>3711.5</v>
      </c>
      <c r="G24" s="21">
        <f t="shared" si="7"/>
        <v>675</v>
      </c>
      <c r="H24" s="21">
        <f t="shared" si="7"/>
        <v>23.5</v>
      </c>
      <c r="I24" s="34"/>
      <c r="J24" s="34"/>
      <c r="K24" s="35">
        <v>93</v>
      </c>
      <c r="L24" s="35">
        <v>6893</v>
      </c>
      <c r="M24" s="35">
        <v>2073</v>
      </c>
      <c r="N24" s="35">
        <v>3711.5</v>
      </c>
      <c r="O24" s="31">
        <v>675</v>
      </c>
      <c r="P24" s="31">
        <v>23.5</v>
      </c>
    </row>
    <row r="25" spans="1:23" s="25" customFormat="1" ht="18" customHeight="1" x14ac:dyDescent="0.25">
      <c r="B25" s="24">
        <v>6</v>
      </c>
      <c r="C25" s="21">
        <f t="shared" ref="C25:H25" si="8">SUMPRODUCT($H$3:$H$15,C$3:C$15)</f>
        <v>3</v>
      </c>
      <c r="D25" s="21">
        <f t="shared" si="8"/>
        <v>245</v>
      </c>
      <c r="E25" s="21">
        <f t="shared" si="8"/>
        <v>59</v>
      </c>
      <c r="F25" s="21">
        <f t="shared" si="8"/>
        <v>86</v>
      </c>
      <c r="G25" s="21">
        <f t="shared" si="8"/>
        <v>23.5</v>
      </c>
      <c r="H25" s="21">
        <f t="shared" si="8"/>
        <v>3</v>
      </c>
      <c r="I25" s="34"/>
      <c r="J25" s="34"/>
      <c r="K25" s="35">
        <v>3</v>
      </c>
      <c r="L25" s="35">
        <v>245</v>
      </c>
      <c r="M25" s="35">
        <v>59</v>
      </c>
      <c r="N25" s="35">
        <v>86</v>
      </c>
      <c r="O25" s="31">
        <v>23.5</v>
      </c>
      <c r="P25" s="31">
        <v>3</v>
      </c>
      <c r="Q25" s="34"/>
      <c r="R25" s="34"/>
      <c r="S25" s="34"/>
      <c r="T25" s="34"/>
      <c r="U25" s="34"/>
      <c r="V25" s="34"/>
      <c r="W25" s="34"/>
    </row>
    <row r="26" spans="1:23" s="25" customFormat="1" ht="18" customHeight="1" x14ac:dyDescent="0.25">
      <c r="A26" s="23"/>
      <c r="B26" s="23"/>
      <c r="C26" s="23"/>
      <c r="D26" s="23"/>
      <c r="E26" s="23"/>
      <c r="F26" s="23"/>
      <c r="G26" s="23"/>
      <c r="I26" s="23"/>
      <c r="J26" s="23"/>
    </row>
    <row r="27" spans="1:23" s="25" customFormat="1" ht="18" customHeight="1" x14ac:dyDescent="0.25">
      <c r="A27" s="23"/>
      <c r="B27" s="70" t="s">
        <v>97</v>
      </c>
      <c r="C27" s="70"/>
      <c r="D27" s="23"/>
      <c r="E27" s="23"/>
      <c r="F27" s="23"/>
      <c r="G27" s="23"/>
      <c r="I27" s="23"/>
      <c r="J27" s="23"/>
    </row>
    <row r="28" spans="1:23" s="25" customFormat="1" ht="18" customHeight="1" x14ac:dyDescent="0.25">
      <c r="B28" s="27" t="s">
        <v>98</v>
      </c>
      <c r="C28" s="27">
        <f>(D3*Q10)+(D4*R10)+(D5*S10)+(D6*T10)+(D7*U10)+(D8*V10)+(D9*W10)+(D10*X10)+(D11*Y10)+(D12*Z10)+(D13*AA10)+(D14*AB10)+(D15*AC10)</f>
        <v>6893</v>
      </c>
      <c r="E28" s="23"/>
      <c r="F28" s="23"/>
      <c r="G28" s="23"/>
      <c r="I28" s="23"/>
      <c r="J28" s="23"/>
    </row>
    <row r="29" spans="1:23" s="25" customFormat="1" ht="18" customHeight="1" x14ac:dyDescent="0.25">
      <c r="A29" s="23"/>
      <c r="B29" s="23"/>
      <c r="C29" s="23"/>
      <c r="D29" s="23"/>
      <c r="E29" s="23"/>
      <c r="F29" s="23"/>
      <c r="G29" s="23"/>
      <c r="I29" s="23"/>
      <c r="J29" s="23"/>
    </row>
    <row r="30" spans="1:23" s="25" customFormat="1" ht="18" customHeight="1" x14ac:dyDescent="0.25">
      <c r="A30" s="23"/>
      <c r="B30" s="68" t="s">
        <v>61</v>
      </c>
      <c r="C30" s="68"/>
      <c r="D30" s="68"/>
      <c r="E30" s="68"/>
      <c r="F30" s="68"/>
      <c r="G30" s="68"/>
      <c r="I30" s="23"/>
      <c r="J30" s="23"/>
    </row>
    <row r="31" spans="1:23" s="25" customFormat="1" ht="18" customHeight="1" x14ac:dyDescent="0.25">
      <c r="A31" s="23"/>
      <c r="C31" s="11"/>
      <c r="D31" s="11"/>
      <c r="E31" s="11"/>
      <c r="F31" s="11"/>
      <c r="G31" s="11"/>
      <c r="I31" s="23"/>
      <c r="J31" s="54" t="s">
        <v>135</v>
      </c>
      <c r="K31" s="54"/>
      <c r="L31" s="54"/>
      <c r="M31" s="54"/>
      <c r="N31" s="54"/>
      <c r="O31" s="54"/>
      <c r="P31" s="54"/>
    </row>
    <row r="32" spans="1:23" s="25" customFormat="1" ht="18" customHeight="1" x14ac:dyDescent="0.25">
      <c r="A32" s="23"/>
      <c r="B32" s="21">
        <f t="array" ref="B32:G37">MINVERSE(C20:H25)</f>
        <v>18.486217016304469</v>
      </c>
      <c r="C32" s="21">
        <v>-7.4612101646528872E-2</v>
      </c>
      <c r="D32" s="21">
        <v>-2.2047484075440354E-2</v>
      </c>
      <c r="E32" s="21">
        <v>-2.4538419769253902E-2</v>
      </c>
      <c r="F32" s="21">
        <v>-1.6369895894205675</v>
      </c>
      <c r="G32" s="21">
        <v>1.5672249554921036</v>
      </c>
      <c r="I32" s="23"/>
      <c r="J32" s="54"/>
      <c r="K32" s="54"/>
      <c r="L32" s="54"/>
      <c r="M32" s="54"/>
      <c r="N32" s="54"/>
      <c r="O32" s="54"/>
      <c r="P32" s="54"/>
    </row>
    <row r="33" spans="1:16" s="25" customFormat="1" x14ac:dyDescent="0.25">
      <c r="A33" s="23"/>
      <c r="B33" s="21">
        <v>-7.4612101646528775E-2</v>
      </c>
      <c r="C33" s="21">
        <v>8.2067965837560603E-4</v>
      </c>
      <c r="D33" s="21">
        <v>-5.1159163765973398E-4</v>
      </c>
      <c r="E33" s="21">
        <v>-5.9755688510004563E-5</v>
      </c>
      <c r="F33" s="21">
        <v>4.2965212881183081E-3</v>
      </c>
      <c r="G33" s="21">
        <v>-1.4291855266477551E-2</v>
      </c>
      <c r="I33" s="23"/>
      <c r="J33" s="54"/>
      <c r="K33" s="54"/>
      <c r="L33" s="54"/>
      <c r="M33" s="54"/>
      <c r="N33" s="54"/>
      <c r="O33" s="54"/>
      <c r="P33" s="54"/>
    </row>
    <row r="34" spans="1:16" x14ac:dyDescent="0.25">
      <c r="B34" s="21">
        <v>-2.2047484075440361E-2</v>
      </c>
      <c r="C34" s="21">
        <v>-5.1159163765973387E-4</v>
      </c>
      <c r="D34" s="21">
        <v>1.3636640484062169E-3</v>
      </c>
      <c r="E34" s="21">
        <v>2.2421219750979826E-4</v>
      </c>
      <c r="F34" s="21">
        <v>2.4426078255918803E-3</v>
      </c>
      <c r="G34" s="21">
        <v>1.1447563903245738E-2</v>
      </c>
      <c r="J34" s="55" t="s">
        <v>134</v>
      </c>
      <c r="K34" s="55"/>
      <c r="L34" s="55"/>
      <c r="M34" s="55"/>
      <c r="N34" s="55"/>
      <c r="O34" s="55"/>
      <c r="P34" s="55"/>
    </row>
    <row r="35" spans="1:16" x14ac:dyDescent="0.25">
      <c r="B35" s="21">
        <v>-2.4538419769253181E-2</v>
      </c>
      <c r="C35" s="21">
        <v>-5.975568851000787E-5</v>
      </c>
      <c r="D35" s="21">
        <v>2.242121975097982E-4</v>
      </c>
      <c r="E35" s="21">
        <v>3.5654051562947767E-4</v>
      </c>
      <c r="F35" s="21">
        <v>1.1373740243327283E-3</v>
      </c>
      <c r="G35" s="21">
        <v>5.8787031412263907E-3</v>
      </c>
      <c r="J35" s="55"/>
      <c r="K35" s="55"/>
      <c r="L35" s="55"/>
      <c r="M35" s="55"/>
      <c r="N35" s="55"/>
      <c r="O35" s="55"/>
      <c r="P35" s="55"/>
    </row>
    <row r="36" spans="1:16" x14ac:dyDescent="0.25">
      <c r="B36" s="21">
        <v>-1.6369895894205728</v>
      </c>
      <c r="C36" s="21">
        <v>4.296521288118341E-3</v>
      </c>
      <c r="D36" s="21">
        <v>2.4426078255918825E-3</v>
      </c>
      <c r="E36" s="21">
        <v>1.1373740243327971E-3</v>
      </c>
      <c r="F36" s="21">
        <v>0.17520449940967703</v>
      </c>
      <c r="G36" s="21">
        <v>-0.16697090375240914</v>
      </c>
    </row>
    <row r="37" spans="1:16" x14ac:dyDescent="0.25">
      <c r="B37" s="21">
        <v>1.5672249554921187</v>
      </c>
      <c r="C37" s="21">
        <v>-1.4291855266477633E-2</v>
      </c>
      <c r="D37" s="21">
        <v>1.1447563903245736E-2</v>
      </c>
      <c r="E37" s="21">
        <v>5.8787031412263031E-3</v>
      </c>
      <c r="F37" s="21">
        <v>-0.16697090375240989</v>
      </c>
      <c r="G37" s="21">
        <v>0.84755705718511198</v>
      </c>
    </row>
    <row r="39" spans="1:16" ht="21" x14ac:dyDescent="0.25">
      <c r="B39" s="68" t="s">
        <v>61</v>
      </c>
      <c r="C39" s="68"/>
      <c r="D39" s="68"/>
      <c r="E39" s="68"/>
      <c r="F39" s="68"/>
      <c r="G39" s="68"/>
    </row>
    <row r="41" spans="1:16" x14ac:dyDescent="0.25">
      <c r="B41" s="21">
        <f>SUMPRODUCT(C3:C15,$I$3:$I$15)</f>
        <v>2056390</v>
      </c>
      <c r="C41" s="21">
        <f t="shared" ref="C41:G41" si="9">SUMPRODUCT(D3:D15,$I$3:$I$15)</f>
        <v>155798860</v>
      </c>
      <c r="D41" s="21">
        <f>SUMPRODUCT(E3:E15,$I$3:$I$15)</f>
        <v>47154640</v>
      </c>
      <c r="E41" s="21">
        <f t="shared" si="9"/>
        <v>80115050</v>
      </c>
      <c r="F41" s="21">
        <f t="shared" si="9"/>
        <v>14792225</v>
      </c>
      <c r="G41" s="21">
        <f t="shared" si="9"/>
        <v>592000</v>
      </c>
    </row>
    <row r="43" spans="1:16" x14ac:dyDescent="0.25">
      <c r="B43" s="23">
        <f t="array" ref="B43:B48">MMULT(TRANSPOSE(C3:H15), I3:I15)</f>
        <v>2056390</v>
      </c>
    </row>
    <row r="44" spans="1:16" x14ac:dyDescent="0.25">
      <c r="B44" s="23">
        <v>155798860</v>
      </c>
    </row>
    <row r="45" spans="1:16" x14ac:dyDescent="0.25">
      <c r="B45" s="23">
        <v>47154640</v>
      </c>
    </row>
    <row r="46" spans="1:16" x14ac:dyDescent="0.25">
      <c r="B46" s="23">
        <v>80115050</v>
      </c>
    </row>
    <row r="47" spans="1:16" x14ac:dyDescent="0.25">
      <c r="B47" s="23">
        <v>14792225</v>
      </c>
    </row>
    <row r="48" spans="1:16" x14ac:dyDescent="0.25">
      <c r="B48" s="23">
        <v>592000</v>
      </c>
    </row>
    <row r="50" spans="2:8" ht="21" x14ac:dyDescent="0.25">
      <c r="B50" s="68" t="s">
        <v>63</v>
      </c>
      <c r="C50" s="68"/>
      <c r="D50" s="68"/>
      <c r="E50" s="68"/>
      <c r="F50" s="68"/>
      <c r="G50" s="68"/>
      <c r="H50" s="68"/>
    </row>
    <row r="51" spans="2:8" x14ac:dyDescent="0.25">
      <c r="E51" s="11"/>
      <c r="F51" s="11"/>
      <c r="G51" s="11"/>
      <c r="H51" s="11"/>
    </row>
    <row r="52" spans="2:8" x14ac:dyDescent="0.25">
      <c r="B52" s="22">
        <f t="array" ref="B52">SUMPRODUCT(B32:B37,$B$43:$B$48)</f>
        <v>97932.374491811148</v>
      </c>
      <c r="C52" s="22">
        <f t="array" ref="C52">SUMPRODUCT(C32:C37,$B$43:$B$48)</f>
        <v>612.4573149660373</v>
      </c>
      <c r="D52" s="22">
        <f t="array" ref="D52">SUMPRODUCT(D32:D37,$B$43:$B$48)</f>
        <v>130.80136046803818</v>
      </c>
      <c r="E52" s="22">
        <f t="array" ref="E52">SUMPRODUCT(E32:E37,$B$43:$B$48)</f>
        <v>-329.03774711284768</v>
      </c>
      <c r="F52" s="22">
        <f t="array" ref="F52">SUMPRODUCT(F32:F37,$B$43:$B$48)</f>
        <v>2222.7676299719169</v>
      </c>
      <c r="G52" s="22">
        <f t="array" ref="G52">SUMPRODUCT(G32:G37,$B$43:$B$48)</f>
        <v>38831.920345871302</v>
      </c>
    </row>
    <row r="54" spans="2:8" x14ac:dyDescent="0.25">
      <c r="B54" s="36">
        <f t="array" ref="B54:B59">MMULT(TRANSPOSE(C3:H15), I3:I15)</f>
        <v>2056390</v>
      </c>
    </row>
    <row r="55" spans="2:8" x14ac:dyDescent="0.25">
      <c r="B55" s="36">
        <v>155798860</v>
      </c>
    </row>
    <row r="56" spans="2:8" x14ac:dyDescent="0.25">
      <c r="B56" s="36">
        <v>47154640</v>
      </c>
    </row>
    <row r="57" spans="2:8" x14ac:dyDescent="0.25">
      <c r="B57" s="36">
        <v>80115050</v>
      </c>
    </row>
    <row r="58" spans="2:8" x14ac:dyDescent="0.25">
      <c r="B58" s="36">
        <v>14792225</v>
      </c>
    </row>
    <row r="59" spans="2:8" x14ac:dyDescent="0.25">
      <c r="B59" s="36">
        <v>592000</v>
      </c>
    </row>
    <row r="61" spans="2:8" ht="21" x14ac:dyDescent="0.25">
      <c r="B61" s="68" t="s">
        <v>63</v>
      </c>
      <c r="C61" s="68"/>
      <c r="D61" s="68"/>
      <c r="E61" s="68"/>
      <c r="F61" s="68"/>
      <c r="G61" s="68"/>
      <c r="H61" s="68"/>
    </row>
    <row r="63" spans="2:8" ht="23.25" customHeight="1" x14ac:dyDescent="0.25">
      <c r="B63" s="9" t="s">
        <v>28</v>
      </c>
      <c r="C63" s="13">
        <f>B52</f>
        <v>97932.374491811148</v>
      </c>
      <c r="D63"/>
      <c r="E63"/>
      <c r="F63"/>
      <c r="G63"/>
    </row>
    <row r="64" spans="2:8" ht="23.25" customHeight="1" x14ac:dyDescent="0.25">
      <c r="B64" s="9" t="s">
        <v>21</v>
      </c>
      <c r="C64" s="13">
        <f>C52</f>
        <v>612.4573149660373</v>
      </c>
      <c r="D64" s="13">
        <f>D52</f>
        <v>130.80136046803818</v>
      </c>
      <c r="E64" s="13">
        <f>E52</f>
        <v>-329.03774711284768</v>
      </c>
      <c r="F64" s="13">
        <f>F52</f>
        <v>2222.7676299719169</v>
      </c>
      <c r="G64" s="13">
        <f t="shared" ref="G64" si="10">G52</f>
        <v>38831.920345871302</v>
      </c>
    </row>
    <row r="65" spans="2:8" ht="23.25" customHeight="1" x14ac:dyDescent="0.25">
      <c r="B65" s="9" t="s">
        <v>58</v>
      </c>
      <c r="C65" s="10">
        <f>Propiedad!C22</f>
        <v>70</v>
      </c>
      <c r="D65" s="10">
        <f>Propiedad!D22</f>
        <v>38</v>
      </c>
      <c r="E65" s="10">
        <f>Propiedad!E22</f>
        <v>60</v>
      </c>
      <c r="F65" s="10">
        <f>Propiedad!F22</f>
        <v>6.5</v>
      </c>
      <c r="G65" s="10">
        <f>Propiedad!G22</f>
        <v>1</v>
      </c>
      <c r="H65" s="14">
        <f>C63+SUMPRODUCT(C64:G64,C65:G65)</f>
        <v>179312.48335113711</v>
      </c>
    </row>
    <row r="66" spans="2:8" ht="18" customHeight="1" x14ac:dyDescent="0.25">
      <c r="H66" t="s">
        <v>81</v>
      </c>
    </row>
  </sheetData>
  <mergeCells count="9">
    <mergeCell ref="B61:H61"/>
    <mergeCell ref="J31:P33"/>
    <mergeCell ref="J34:P35"/>
    <mergeCell ref="K1:N1"/>
    <mergeCell ref="B17:G17"/>
    <mergeCell ref="B27:C27"/>
    <mergeCell ref="B30:G30"/>
    <mergeCell ref="B39:G39"/>
    <mergeCell ref="B50:H50"/>
  </mergeCells>
  <pageMargins left="0.75" right="0.75" top="1" bottom="1" header="0.5" footer="0.5"/>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54"/>
  <sheetViews>
    <sheetView showGridLines="0" tabSelected="1" workbookViewId="0">
      <selection activeCell="B25" sqref="B25"/>
    </sheetView>
  </sheetViews>
  <sheetFormatPr baseColWidth="10" defaultRowHeight="18" customHeight="1" x14ac:dyDescent="0.25"/>
  <cols>
    <col min="1" max="1" width="11.42578125" style="8"/>
    <col min="2" max="2" width="146" style="8" customWidth="1"/>
    <col min="3" max="16384" width="11.42578125" style="11"/>
  </cols>
  <sheetData>
    <row r="2" spans="1:2" ht="33.75" customHeight="1" x14ac:dyDescent="0.25">
      <c r="B2" s="37" t="s">
        <v>99</v>
      </c>
    </row>
    <row r="5" spans="1:2" ht="18" customHeight="1" x14ac:dyDescent="0.25">
      <c r="B5" s="38" t="s">
        <v>100</v>
      </c>
    </row>
    <row r="7" spans="1:2" ht="18" customHeight="1" x14ac:dyDescent="0.25">
      <c r="B7" s="39" t="s">
        <v>101</v>
      </c>
    </row>
    <row r="8" spans="1:2" ht="30" x14ac:dyDescent="0.25">
      <c r="B8" s="8" t="s">
        <v>102</v>
      </c>
    </row>
    <row r="10" spans="1:2" ht="18" customHeight="1" x14ac:dyDescent="0.25">
      <c r="B10" s="39" t="s">
        <v>103</v>
      </c>
    </row>
    <row r="11" spans="1:2" ht="36.75" customHeight="1" x14ac:dyDescent="0.25">
      <c r="B11" s="8" t="s">
        <v>104</v>
      </c>
    </row>
    <row r="12" spans="1:2" ht="36.75" customHeight="1" x14ac:dyDescent="0.25">
      <c r="B12" s="8" t="s">
        <v>105</v>
      </c>
    </row>
    <row r="14" spans="1:2" ht="18" customHeight="1" x14ac:dyDescent="0.25">
      <c r="B14" s="38" t="s">
        <v>106</v>
      </c>
    </row>
    <row r="15" spans="1:2" ht="18" customHeight="1" x14ac:dyDescent="0.25">
      <c r="B15" s="8" t="s">
        <v>107</v>
      </c>
    </row>
    <row r="16" spans="1:2" ht="18" customHeight="1" x14ac:dyDescent="0.25">
      <c r="A16" s="71" t="s">
        <v>108</v>
      </c>
      <c r="B16" s="8" t="s">
        <v>109</v>
      </c>
    </row>
    <row r="17" spans="1:2" ht="18" customHeight="1" x14ac:dyDescent="0.25">
      <c r="A17" s="71"/>
      <c r="B17" s="8" t="s">
        <v>110</v>
      </c>
    </row>
    <row r="18" spans="1:2" ht="18" customHeight="1" x14ac:dyDescent="0.25">
      <c r="A18" s="71"/>
      <c r="B18" s="8" t="s">
        <v>111</v>
      </c>
    </row>
    <row r="20" spans="1:2" ht="18" customHeight="1" x14ac:dyDescent="0.25">
      <c r="B20" s="38" t="s">
        <v>112</v>
      </c>
    </row>
    <row r="21" spans="1:2" ht="18" customHeight="1" x14ac:dyDescent="0.25">
      <c r="B21" s="8" t="s">
        <v>113</v>
      </c>
    </row>
    <row r="22" spans="1:2" ht="18" customHeight="1" x14ac:dyDescent="0.25">
      <c r="B22" s="8" t="s">
        <v>114</v>
      </c>
    </row>
    <row r="23" spans="1:2" ht="18" customHeight="1" x14ac:dyDescent="0.25">
      <c r="B23" s="8" t="s">
        <v>115</v>
      </c>
    </row>
    <row r="24" spans="1:2" ht="18" customHeight="1" x14ac:dyDescent="0.25">
      <c r="B24" s="8" t="s">
        <v>116</v>
      </c>
    </row>
    <row r="26" spans="1:2" ht="18" customHeight="1" x14ac:dyDescent="0.25">
      <c r="B26" s="38" t="s">
        <v>117</v>
      </c>
    </row>
    <row r="27" spans="1:2" ht="18" customHeight="1" x14ac:dyDescent="0.25">
      <c r="B27" s="8" t="s">
        <v>118</v>
      </c>
    </row>
    <row r="28" spans="1:2" ht="18" customHeight="1" x14ac:dyDescent="0.25">
      <c r="B28" s="8" t="s">
        <v>119</v>
      </c>
    </row>
    <row r="29" spans="1:2" ht="18" customHeight="1" x14ac:dyDescent="0.25">
      <c r="B29" s="8" t="s">
        <v>145</v>
      </c>
    </row>
    <row r="31" spans="1:2" ht="18" customHeight="1" x14ac:dyDescent="0.25">
      <c r="B31" s="38" t="s">
        <v>120</v>
      </c>
    </row>
    <row r="32" spans="1:2" ht="18" customHeight="1" x14ac:dyDescent="0.25">
      <c r="B32" s="8" t="s">
        <v>121</v>
      </c>
    </row>
    <row r="33" spans="2:2" ht="18" customHeight="1" x14ac:dyDescent="0.25">
      <c r="B33" s="8" t="s">
        <v>122</v>
      </c>
    </row>
    <row r="34" spans="2:2" ht="18" customHeight="1" x14ac:dyDescent="0.25">
      <c r="B34" s="8" t="s">
        <v>123</v>
      </c>
    </row>
    <row r="36" spans="2:2" ht="18" customHeight="1" x14ac:dyDescent="0.25">
      <c r="B36" s="38" t="s">
        <v>124</v>
      </c>
    </row>
    <row r="37" spans="2:2" ht="18" customHeight="1" x14ac:dyDescent="0.25">
      <c r="B37" s="8" t="s">
        <v>125</v>
      </c>
    </row>
    <row r="38" spans="2:2" ht="18" customHeight="1" x14ac:dyDescent="0.25">
      <c r="B38" s="8" t="s">
        <v>126</v>
      </c>
    </row>
    <row r="40" spans="2:2" ht="18" customHeight="1" x14ac:dyDescent="0.25">
      <c r="B40" s="38" t="s">
        <v>127</v>
      </c>
    </row>
    <row r="41" spans="2:2" ht="18" customHeight="1" x14ac:dyDescent="0.25">
      <c r="B41" s="8" t="s">
        <v>128</v>
      </c>
    </row>
    <row r="44" spans="2:2" ht="24" customHeight="1" x14ac:dyDescent="0.25">
      <c r="B44" s="40" t="s">
        <v>0</v>
      </c>
    </row>
    <row r="45" spans="2:2" ht="18" customHeight="1" x14ac:dyDescent="0.25">
      <c r="B45" s="8" t="s">
        <v>129</v>
      </c>
    </row>
    <row r="46" spans="2:2" ht="18" customHeight="1" x14ac:dyDescent="0.25">
      <c r="B46" s="8" t="s">
        <v>130</v>
      </c>
    </row>
    <row r="47" spans="2:2" ht="18" customHeight="1" x14ac:dyDescent="0.25">
      <c r="B47" s="8" t="s">
        <v>131</v>
      </c>
    </row>
    <row r="50" spans="2:6" ht="18" customHeight="1" x14ac:dyDescent="0.25">
      <c r="B50" s="8" t="str">
        <f>"RMSE = error típico del modelo. Indica que, en promedio, las predicciones se equivocan unos "&amp;TEXT(ROUND('Cálculos con fórmulas de excel'!$B$42,0),"#.##0")&amp;" USD respecto al precio real."</f>
        <v>RMSE = error típico del modelo. Indica que, en promedio, las predicciones se equivocan unos 16.629 USD respecto al precio real.</v>
      </c>
    </row>
    <row r="51" spans="2:6" ht="18" customHeight="1" x14ac:dyDescent="0.25">
      <c r="B51" s="8" t="str">
        <f>"Si tu predicción para la casa es USD "&amp;TEXT(ROUND(D52,0),"#.##0")&amp;", una interpretación práctica (si los residuos son aproximadamente normales) es:"</f>
        <v>Si tu predicción para la casa es USD 179.312, una interpretación práctica (si los residuos son aproximadamente normales) es:</v>
      </c>
    </row>
    <row r="52" spans="2:6" ht="18" customHeight="1" x14ac:dyDescent="0.25">
      <c r="B52" s="8" t="str">
        <f>"≈68% de las predicciones estarán entre "&amp;TEXT(ROUND(D52,0),"#.##0")&amp;" ± 1·RMSE → "&amp;TEXT(ROUND(D52-'Cálculos con fórmulas de excel'!$B$42,0),"#.##0")&amp;" a "&amp;TEXT(ROUND(D52+'Cálculos con fórmulas de excel'!$B$42,0),"#.##0")&amp;" USD."</f>
        <v>≈68% de las predicciones estarán entre 179.312 ± 1·RMSE → 162.683 a 195.942 USD.</v>
      </c>
      <c r="D52" s="41">
        <f>'Cálculos con fórmulas de excel'!B44</f>
        <v>179312.48335113589</v>
      </c>
      <c r="E52" s="42">
        <f>D52+'Cálculos con fórmulas de excel'!$B$42</f>
        <v>195941.55340431238</v>
      </c>
      <c r="F52" s="42">
        <f>D52-'Cálculos con fórmulas de excel'!$B$42</f>
        <v>162683.4132979594</v>
      </c>
    </row>
    <row r="53" spans="2:6" ht="18" customHeight="1" x14ac:dyDescent="0.25">
      <c r="B53" s="8" t="str">
        <f>"≈95% estarán entre "&amp;TEXT(ROUND(D52,0),"#.##0")&amp;" ± 2·RMSE → "&amp;TEXT(ROUND(D52-('Cálculos con fórmulas de excel'!$B$42*2),0),"#.##0")&amp;" a "&amp;TEXT(ROUND(D52+('Cálculos con fórmulas de excel'!$B$42*2),0),"#.##0")&amp;" USD."</f>
        <v>≈95% estarán entre 179.312 ± 2·RMSE → 146.054 a 212.571 USD.</v>
      </c>
    </row>
    <row r="54" spans="2:6" ht="18" customHeight="1" x14ac:dyDescent="0.25">
      <c r="B54" s="8" t="s">
        <v>132</v>
      </c>
    </row>
  </sheetData>
  <mergeCells count="1">
    <mergeCell ref="A16:A1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Propiedad</vt:lpstr>
      <vt:lpstr>Excel&gt; Datos&gt; Análisis de datos</vt:lpstr>
      <vt:lpstr>Cálculos con fórmulas de excel</vt:lpstr>
      <vt:lpstr>Cálculos manuales</vt:lpstr>
      <vt:lpstr>Explicación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SinElefantesBlancos</dc:creator>
  <cp:lastModifiedBy>user</cp:lastModifiedBy>
  <dcterms:created xsi:type="dcterms:W3CDTF">2025-12-21T19:11:59Z</dcterms:created>
  <dcterms:modified xsi:type="dcterms:W3CDTF">2025-12-21T21:37:55Z</dcterms:modified>
</cp:coreProperties>
</file>